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17.03.25 поправки февраль " sheetId="2" r:id="rId1"/>
  </sheets>
  <definedNames>
    <definedName name="Z_D9A49370_59EF_4DF5_B20D_A46D1CBDF607_.wvu.PrintTitles" localSheetId="0">'17.03.25 поправки февраль '!$5:$8</definedName>
    <definedName name="Z_D9A49370_59EF_4DF5_B20D_A46D1CBDF607_.wvu.Rows" localSheetId="0">'17.03.25 поправки февраль '!#REF!</definedName>
    <definedName name="_xlnm.Print_Titles" localSheetId="0">'17.03.25 поправки февраль '!$5:$9</definedName>
    <definedName name="_xlnm.Print_Area" localSheetId="0">'17.03.25 поправки февраль '!$A$1:$AE$213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G11" i="2"/>
  <c r="E12"/>
  <c r="W12" l="1"/>
  <c r="G110"/>
  <c r="G45"/>
  <c r="AB106"/>
  <c r="G100"/>
  <c r="Z106"/>
  <c r="G99"/>
  <c r="Z123"/>
  <c r="Y106"/>
  <c r="E122"/>
  <c r="E121"/>
  <c r="G190"/>
  <c r="E152"/>
  <c r="AG152"/>
  <c r="G152"/>
  <c r="AF152"/>
  <c r="AB178"/>
  <c r="Z178"/>
  <c r="G178"/>
  <c r="E178"/>
  <c r="Y204"/>
  <c r="W204"/>
  <c r="AB152"/>
  <c r="Z152"/>
  <c r="AB177"/>
  <c r="Z177"/>
  <c r="AB182"/>
  <c r="AB180"/>
  <c r="G182"/>
  <c r="G181"/>
  <c r="AB133"/>
  <c r="AA133"/>
  <c r="AB132"/>
  <c r="AA132"/>
  <c r="AB130"/>
  <c r="AA130"/>
  <c r="AB150"/>
  <c r="AA150"/>
  <c r="AB149"/>
  <c r="AA149"/>
  <c r="AB136"/>
  <c r="AA136"/>
  <c r="AB135"/>
  <c r="AA135"/>
  <c r="G133"/>
  <c r="F133"/>
  <c r="G132"/>
  <c r="F132"/>
  <c r="G130"/>
  <c r="F130"/>
  <c r="AC12"/>
  <c r="AB101" l="1"/>
  <c r="Z101"/>
  <c r="AB100"/>
  <c r="Z100"/>
  <c r="G101"/>
  <c r="E101"/>
  <c r="G59"/>
  <c r="AB59" s="1"/>
  <c r="G54"/>
  <c r="AB54" s="1"/>
  <c r="AB56" s="1"/>
  <c r="Y121"/>
  <c r="W124"/>
  <c r="V120"/>
  <c r="V124" s="1"/>
  <c r="Y122"/>
  <c r="W122"/>
  <c r="W121"/>
  <c r="E119"/>
  <c r="W119" s="1"/>
  <c r="AE212"/>
  <c r="AC212"/>
  <c r="AB211"/>
  <c r="Z211"/>
  <c r="AB210"/>
  <c r="Z210"/>
  <c r="AE208"/>
  <c r="AC208"/>
  <c r="AE207"/>
  <c r="AC207"/>
  <c r="AB206"/>
  <c r="Z206"/>
  <c r="G206"/>
  <c r="AB203"/>
  <c r="Z203"/>
  <c r="G203"/>
  <c r="G184" s="1"/>
  <c r="AB202"/>
  <c r="Z202"/>
  <c r="AB200"/>
  <c r="Z200"/>
  <c r="G200"/>
  <c r="AB198"/>
  <c r="Z198"/>
  <c r="AB197"/>
  <c r="Z197"/>
  <c r="G197"/>
  <c r="AE195"/>
  <c r="E195"/>
  <c r="AC195" s="1"/>
  <c r="AE194"/>
  <c r="AC194"/>
  <c r="AB192"/>
  <c r="Z192"/>
  <c r="Z184" s="1"/>
  <c r="AB190"/>
  <c r="Z190"/>
  <c r="AE189"/>
  <c r="AC189"/>
  <c r="AE188"/>
  <c r="AC188"/>
  <c r="AE186"/>
  <c r="AE184" s="1"/>
  <c r="AC186"/>
  <c r="AC184" s="1"/>
  <c r="Y184"/>
  <c r="W184"/>
  <c r="V184"/>
  <c r="T184"/>
  <c r="E184"/>
  <c r="AB181"/>
  <c r="V175"/>
  <c r="G175"/>
  <c r="Y174"/>
  <c r="Y175" s="1"/>
  <c r="V173"/>
  <c r="V171"/>
  <c r="G171"/>
  <c r="V170"/>
  <c r="G170"/>
  <c r="E168"/>
  <c r="Y168"/>
  <c r="W167"/>
  <c r="W168" s="1"/>
  <c r="W152" s="1"/>
  <c r="V167"/>
  <c r="V168" s="1"/>
  <c r="E165"/>
  <c r="AE164"/>
  <c r="AE165" s="1"/>
  <c r="AC164"/>
  <c r="AC165" s="1"/>
  <c r="AC152" s="1"/>
  <c r="Y163"/>
  <c r="Y165" s="1"/>
  <c r="AB162"/>
  <c r="Z162"/>
  <c r="E162"/>
  <c r="D162"/>
  <c r="AB161"/>
  <c r="Z161"/>
  <c r="E161"/>
  <c r="D161"/>
  <c r="AB160"/>
  <c r="Z160"/>
  <c r="E160"/>
  <c r="D160"/>
  <c r="Z159"/>
  <c r="AB159"/>
  <c r="AB165" s="1"/>
  <c r="E159"/>
  <c r="D159"/>
  <c r="V158"/>
  <c r="V165" s="1"/>
  <c r="V152" s="1"/>
  <c r="G158"/>
  <c r="G165" s="1"/>
  <c r="V157"/>
  <c r="F155"/>
  <c r="AA154"/>
  <c r="AA155" s="1"/>
  <c r="AB154"/>
  <c r="AB148"/>
  <c r="AA148"/>
  <c r="AB146"/>
  <c r="AA146"/>
  <c r="AB144"/>
  <c r="AA144"/>
  <c r="AB142"/>
  <c r="AA142"/>
  <c r="AB140"/>
  <c r="AA140"/>
  <c r="AB138"/>
  <c r="AA138"/>
  <c r="AJ128"/>
  <c r="AG128"/>
  <c r="G128"/>
  <c r="E128"/>
  <c r="AJ127"/>
  <c r="W127"/>
  <c r="R127"/>
  <c r="Q127"/>
  <c r="P127"/>
  <c r="N127"/>
  <c r="M127"/>
  <c r="L127"/>
  <c r="J127"/>
  <c r="I127"/>
  <c r="H127"/>
  <c r="G127"/>
  <c r="E127"/>
  <c r="Y126"/>
  <c r="Y127" s="1"/>
  <c r="W126"/>
  <c r="Z124"/>
  <c r="S124"/>
  <c r="R124"/>
  <c r="Q124"/>
  <c r="P124"/>
  <c r="O124"/>
  <c r="N124"/>
  <c r="M124"/>
  <c r="L124"/>
  <c r="J124"/>
  <c r="I124"/>
  <c r="H124"/>
  <c r="AB123"/>
  <c r="AB124" s="1"/>
  <c r="Y119"/>
  <c r="Y117"/>
  <c r="V117"/>
  <c r="S117"/>
  <c r="R117"/>
  <c r="Q117"/>
  <c r="P117"/>
  <c r="N117"/>
  <c r="M117"/>
  <c r="L117"/>
  <c r="J117"/>
  <c r="I117"/>
  <c r="H117"/>
  <c r="G117"/>
  <c r="E117"/>
  <c r="AB116"/>
  <c r="AB117" s="1"/>
  <c r="Z116"/>
  <c r="Z117" s="1"/>
  <c r="Y115"/>
  <c r="W115"/>
  <c r="W117" s="1"/>
  <c r="AK113"/>
  <c r="T113"/>
  <c r="T117" s="1"/>
  <c r="Y111"/>
  <c r="W111"/>
  <c r="S111"/>
  <c r="R111"/>
  <c r="Q111"/>
  <c r="P111"/>
  <c r="O111"/>
  <c r="N111"/>
  <c r="M111"/>
  <c r="L111"/>
  <c r="J111"/>
  <c r="I111"/>
  <c r="H111"/>
  <c r="AB110"/>
  <c r="AB111" s="1"/>
  <c r="Z110"/>
  <c r="AG106"/>
  <c r="AF106"/>
  <c r="E106"/>
  <c r="E111" s="1"/>
  <c r="G106"/>
  <c r="G111" s="1"/>
  <c r="V105"/>
  <c r="V111" s="1"/>
  <c r="E105"/>
  <c r="T105" s="1"/>
  <c r="AK104"/>
  <c r="T104"/>
  <c r="V101"/>
  <c r="U101"/>
  <c r="T101"/>
  <c r="S101"/>
  <c r="R101"/>
  <c r="Q101"/>
  <c r="P101"/>
  <c r="N101"/>
  <c r="M101"/>
  <c r="L101"/>
  <c r="J101"/>
  <c r="I101"/>
  <c r="H101"/>
  <c r="Z99"/>
  <c r="AB99"/>
  <c r="Y98"/>
  <c r="Y101" s="1"/>
  <c r="W98"/>
  <c r="W101" s="1"/>
  <c r="AK96"/>
  <c r="T96"/>
  <c r="AJ93"/>
  <c r="Y93"/>
  <c r="W93"/>
  <c r="G93"/>
  <c r="E93"/>
  <c r="V90"/>
  <c r="U90"/>
  <c r="T90"/>
  <c r="R90"/>
  <c r="Q90"/>
  <c r="P90"/>
  <c r="N90"/>
  <c r="M90"/>
  <c r="L90"/>
  <c r="J90"/>
  <c r="I90"/>
  <c r="H90"/>
  <c r="G90"/>
  <c r="E90"/>
  <c r="Y89"/>
  <c r="Y90" s="1"/>
  <c r="W89"/>
  <c r="W90" s="1"/>
  <c r="AJ90" s="1"/>
  <c r="AB87"/>
  <c r="Z87"/>
  <c r="Y87"/>
  <c r="W87"/>
  <c r="AJ87" s="1"/>
  <c r="V87"/>
  <c r="S87"/>
  <c r="R87"/>
  <c r="Q87"/>
  <c r="P87"/>
  <c r="N87"/>
  <c r="M87"/>
  <c r="L87"/>
  <c r="J87"/>
  <c r="I87"/>
  <c r="H87"/>
  <c r="G87"/>
  <c r="E87"/>
  <c r="AF86"/>
  <c r="R82"/>
  <c r="Q82"/>
  <c r="P82"/>
  <c r="O82"/>
  <c r="N82"/>
  <c r="M82"/>
  <c r="L82"/>
  <c r="J82"/>
  <c r="I82"/>
  <c r="H82"/>
  <c r="G82"/>
  <c r="E82"/>
  <c r="Y81"/>
  <c r="W81"/>
  <c r="Y80"/>
  <c r="Y82" s="1"/>
  <c r="W80"/>
  <c r="W82" s="1"/>
  <c r="R78"/>
  <c r="Q78"/>
  <c r="P78"/>
  <c r="O78"/>
  <c r="N78"/>
  <c r="M78"/>
  <c r="L78"/>
  <c r="J78"/>
  <c r="I78"/>
  <c r="H78"/>
  <c r="E78"/>
  <c r="AB77"/>
  <c r="AB78" s="1"/>
  <c r="Z77"/>
  <c r="Z78" s="1"/>
  <c r="G78"/>
  <c r="E75"/>
  <c r="Y74"/>
  <c r="Y75" s="1"/>
  <c r="W74"/>
  <c r="W75" s="1"/>
  <c r="AJ75" s="1"/>
  <c r="G74"/>
  <c r="G75" s="1"/>
  <c r="Y72"/>
  <c r="W72"/>
  <c r="E72"/>
  <c r="AB70"/>
  <c r="Z70"/>
  <c r="Z69"/>
  <c r="Z72" s="1"/>
  <c r="G69"/>
  <c r="G72" s="1"/>
  <c r="Y67"/>
  <c r="W67"/>
  <c r="AJ67" s="1"/>
  <c r="R67"/>
  <c r="Q67"/>
  <c r="P67"/>
  <c r="O67"/>
  <c r="N67"/>
  <c r="M67"/>
  <c r="M12" s="1"/>
  <c r="L67"/>
  <c r="J67"/>
  <c r="I67"/>
  <c r="H67"/>
  <c r="G67"/>
  <c r="E67"/>
  <c r="AB65"/>
  <c r="AB67" s="1"/>
  <c r="Z65"/>
  <c r="Z67" s="1"/>
  <c r="V63"/>
  <c r="T63"/>
  <c r="R63"/>
  <c r="Q63"/>
  <c r="P63"/>
  <c r="O63"/>
  <c r="N63"/>
  <c r="M63"/>
  <c r="L63"/>
  <c r="J63"/>
  <c r="I63"/>
  <c r="H63"/>
  <c r="E63"/>
  <c r="Z62"/>
  <c r="G62"/>
  <c r="AB62" s="1"/>
  <c r="AB61"/>
  <c r="Z61"/>
  <c r="Y60"/>
  <c r="Y63" s="1"/>
  <c r="W60"/>
  <c r="W63" s="1"/>
  <c r="Z59"/>
  <c r="G58"/>
  <c r="Y56"/>
  <c r="W56"/>
  <c r="V56"/>
  <c r="U56"/>
  <c r="T56"/>
  <c r="S56"/>
  <c r="R56"/>
  <c r="Q56"/>
  <c r="P56"/>
  <c r="O56"/>
  <c r="N56"/>
  <c r="M56"/>
  <c r="L56"/>
  <c r="L12" s="1"/>
  <c r="J56"/>
  <c r="I56"/>
  <c r="H56"/>
  <c r="E54"/>
  <c r="Z54" s="1"/>
  <c r="Z56" s="1"/>
  <c r="Y51"/>
  <c r="W51"/>
  <c r="V51"/>
  <c r="T51"/>
  <c r="S51"/>
  <c r="S12" s="1"/>
  <c r="R51"/>
  <c r="Q51"/>
  <c r="P51"/>
  <c r="O51"/>
  <c r="N51"/>
  <c r="M51"/>
  <c r="L51"/>
  <c r="J51"/>
  <c r="J12" s="1"/>
  <c r="I51"/>
  <c r="H51"/>
  <c r="Z50"/>
  <c r="Z51" s="1"/>
  <c r="AJ51" s="1"/>
  <c r="AB50"/>
  <c r="AB51" s="1"/>
  <c r="AK49"/>
  <c r="AK13" s="1"/>
  <c r="E49"/>
  <c r="E51" s="1"/>
  <c r="T46"/>
  <c r="R46"/>
  <c r="Q46"/>
  <c r="P46"/>
  <c r="N46"/>
  <c r="M46"/>
  <c r="L46"/>
  <c r="J46"/>
  <c r="I46"/>
  <c r="I12" s="1"/>
  <c r="H46"/>
  <c r="G46"/>
  <c r="E46"/>
  <c r="Z45"/>
  <c r="Z46" s="1"/>
  <c r="AB45"/>
  <c r="AB46" s="1"/>
  <c r="Y43"/>
  <c r="W43"/>
  <c r="Y42"/>
  <c r="Y46" s="1"/>
  <c r="W42"/>
  <c r="W41"/>
  <c r="W46" s="1"/>
  <c r="V41"/>
  <c r="V46" s="1"/>
  <c r="V39"/>
  <c r="R39"/>
  <c r="Q39"/>
  <c r="P39"/>
  <c r="L39"/>
  <c r="J39"/>
  <c r="I39"/>
  <c r="H39"/>
  <c r="E39"/>
  <c r="Y38"/>
  <c r="W38"/>
  <c r="Y37"/>
  <c r="W37"/>
  <c r="G36"/>
  <c r="Y36" s="1"/>
  <c r="E36"/>
  <c r="W36" s="1"/>
  <c r="Y35"/>
  <c r="W35"/>
  <c r="R31"/>
  <c r="Q31"/>
  <c r="P31"/>
  <c r="O31"/>
  <c r="N31"/>
  <c r="M31"/>
  <c r="L31"/>
  <c r="J31"/>
  <c r="I31"/>
  <c r="H31"/>
  <c r="H12" s="1"/>
  <c r="G31"/>
  <c r="E31"/>
  <c r="Y30"/>
  <c r="Y31" s="1"/>
  <c r="W30"/>
  <c r="W31" s="1"/>
  <c r="AJ31" s="1"/>
  <c r="Y29"/>
  <c r="W29"/>
  <c r="AE27"/>
  <c r="AC27"/>
  <c r="V27"/>
  <c r="R27"/>
  <c r="Q27"/>
  <c r="P27"/>
  <c r="N27"/>
  <c r="M27"/>
  <c r="L27"/>
  <c r="Y25"/>
  <c r="W25"/>
  <c r="Y24"/>
  <c r="Y23"/>
  <c r="W23"/>
  <c r="W21"/>
  <c r="AB20"/>
  <c r="AB27" s="1"/>
  <c r="G20"/>
  <c r="G27" s="1"/>
  <c r="E20"/>
  <c r="Z20" s="1"/>
  <c r="Z27" s="1"/>
  <c r="Y19"/>
  <c r="Y27" s="1"/>
  <c r="E19"/>
  <c r="W19" s="1"/>
  <c r="W27" s="1"/>
  <c r="AB17"/>
  <c r="Z17"/>
  <c r="S17"/>
  <c r="R17"/>
  <c r="Q17"/>
  <c r="Q12" s="1"/>
  <c r="P17"/>
  <c r="P12" s="1"/>
  <c r="O17"/>
  <c r="O12" s="1"/>
  <c r="N17"/>
  <c r="M17"/>
  <c r="L17"/>
  <c r="G17"/>
  <c r="AE15"/>
  <c r="AC15"/>
  <c r="V14"/>
  <c r="V17" s="1"/>
  <c r="E14"/>
  <c r="E17" s="1"/>
  <c r="N12"/>
  <c r="Y124" l="1"/>
  <c r="AB184"/>
  <c r="Y152"/>
  <c r="AJ101"/>
  <c r="G63"/>
  <c r="AJ63"/>
  <c r="Z63"/>
  <c r="G56"/>
  <c r="G124"/>
  <c r="AJ124"/>
  <c r="R12"/>
  <c r="AB63"/>
  <c r="AJ46"/>
  <c r="V12"/>
  <c r="Y39"/>
  <c r="AJ117"/>
  <c r="AB155"/>
  <c r="W39"/>
  <c r="AJ39" s="1"/>
  <c r="T111"/>
  <c r="AJ27"/>
  <c r="AJ56"/>
  <c r="G51"/>
  <c r="AB69"/>
  <c r="AB72" s="1"/>
  <c r="Z111"/>
  <c r="G39"/>
  <c r="T14"/>
  <c r="T17" s="1"/>
  <c r="G167"/>
  <c r="G168" s="1"/>
  <c r="E56"/>
  <c r="G155"/>
  <c r="E124"/>
  <c r="E27"/>
  <c r="Z12" l="1"/>
  <c r="AG13" s="1"/>
  <c r="Y12"/>
  <c r="AB12"/>
  <c r="T12"/>
  <c r="AJ17"/>
  <c r="AJ111"/>
  <c r="AK12" l="1"/>
  <c r="G12"/>
  <c r="AI10"/>
  <c r="AG15"/>
  <c r="AI13"/>
  <c r="AK11"/>
  <c r="AJ12"/>
  <c r="AJ13"/>
</calcChain>
</file>

<file path=xl/sharedStrings.xml><?xml version="1.0" encoding="utf-8"?>
<sst xmlns="http://schemas.openxmlformats.org/spreadsheetml/2006/main" count="410" uniqueCount="207">
  <si>
    <t xml:space="preserve">Перечень объектов ремонта и капитального ремонта автомобильных дорог регионального значения и искусственных сооружений на них  на 2024 - 2027 годы   </t>
  </si>
  <si>
    <t>№ п/п</t>
  </si>
  <si>
    <t>Наименование объекта</t>
  </si>
  <si>
    <t>Катего-рия</t>
  </si>
  <si>
    <t>Параметры сооружения</t>
  </si>
  <si>
    <t>ВСЕГО</t>
  </si>
  <si>
    <t>2019 год</t>
  </si>
  <si>
    <t>2020 год</t>
  </si>
  <si>
    <t>2021 год</t>
  </si>
  <si>
    <t>Объём финансирования по годам</t>
  </si>
  <si>
    <t>км</t>
  </si>
  <si>
    <t>Стоимость, тыс. рублей</t>
  </si>
  <si>
    <t>2024 год</t>
  </si>
  <si>
    <t>2025 год</t>
  </si>
  <si>
    <t>2026 год</t>
  </si>
  <si>
    <t>2027 год</t>
  </si>
  <si>
    <t>Протяженность</t>
  </si>
  <si>
    <t>Всего</t>
  </si>
  <si>
    <t>в том числе</t>
  </si>
  <si>
    <t>пог. м</t>
  </si>
  <si>
    <t>областной бюджет</t>
  </si>
  <si>
    <t>федераль-ный бюджет</t>
  </si>
  <si>
    <t>федеральный бюджет</t>
  </si>
  <si>
    <t xml:space="preserve">  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</si>
  <si>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</si>
  <si>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>I</t>
  </si>
  <si>
    <t>Отремонтировано автодорог регионального значения</t>
  </si>
  <si>
    <t>ВСЕГО за счет средств областного бюджета</t>
  </si>
  <si>
    <t>Алексеевский муниципальный округ</t>
  </si>
  <si>
    <t xml:space="preserve">«Белгород - Новый Оскол - Советское» - Калитва - Николаевка, км 0+020 - км 0+140;      км 0+310 - км 5+400                                          </t>
  </si>
  <si>
    <t>IV</t>
  </si>
  <si>
    <t xml:space="preserve">   </t>
  </si>
  <si>
    <t>Иловка - граница Воронежской области,             км 0+000 - км 7+069</t>
  </si>
  <si>
    <t>III</t>
  </si>
  <si>
    <t xml:space="preserve">    </t>
  </si>
  <si>
    <t xml:space="preserve">Гезов - Хлевище - «Попасное - Мирный»,           км 0+000 - км 7+600                                 </t>
  </si>
  <si>
    <t>ИТОГО по Алексеевскому муниципальному округу</t>
  </si>
  <si>
    <t>Белгородский район</t>
  </si>
  <si>
    <t xml:space="preserve">«Крым» - Ясные Зори - Архангельское,               км 6+510 - км 10+750                         </t>
  </si>
  <si>
    <t xml:space="preserve">«Крым»- Ясные Зори - Архангельское,                км 10+750 - км 13+800                          </t>
  </si>
  <si>
    <t xml:space="preserve">     </t>
  </si>
  <si>
    <t>Разумное - Севрюково - Новосадовый,                 км 8+245 - км 14+635</t>
  </si>
  <si>
    <t>II</t>
  </si>
  <si>
    <t xml:space="preserve">Таврово - Соломино - Разумное,                           км 0+000 - км 3+000 - 2025 год;                          км 3+000 - км 4+600 - 2026 год    </t>
  </si>
  <si>
    <t>Юго - Западный 2 - Комсомольский, км 0+000 -км 1+400 (развязка)</t>
  </si>
  <si>
    <t xml:space="preserve">Белгород - Никольское - «Крым» -                       Ясные Зори - Архангельское, км 6+395 -             км 6+520 (восстановление светофорного объекта, км 6+450)               </t>
  </si>
  <si>
    <t>«Крым» - Весёлая Лопань - Бессоновка,              км 0+030 - км 1+880</t>
  </si>
  <si>
    <t>Подъезд к п. Новосадовый, км 0+010 -               км 1+410</t>
  </si>
  <si>
    <t>ИТОГО по Белгородскому району</t>
  </si>
  <si>
    <t>Борисовский район</t>
  </si>
  <si>
    <t>Стригуны - Зыбино - Крюково,                                                          км 3+500 - км 4+000</t>
  </si>
  <si>
    <t>Борисовка - Пролетарский - Октябрьская Готня - станция Кулиновка - Красный Куток, км 0+015 - км 4+000</t>
  </si>
  <si>
    <t>ИТОГО по Борисовскому району</t>
  </si>
  <si>
    <t>Валуйский муниципальный округ</t>
  </si>
  <si>
    <t>«Валуйки - Казинка - Вериговка» - Бирюч, 
км 0+000 - км 0+620</t>
  </si>
  <si>
    <t>V</t>
  </si>
  <si>
    <t>«Валуйки - Казинка - Вериговка»,                                        км 26+800 - км 32+550</t>
  </si>
  <si>
    <t xml:space="preserve">«Валуйки - Казинка - Вериговка» - Дубровка, км 0+000 - км 1+600 </t>
  </si>
  <si>
    <t>«Валуйки - Казинка - Вериговка» - Конопляновка», км 0+020 - км 5+000</t>
  </si>
  <si>
    <t>«Валуйки - Казинка - Вериговка» - Рябики, км 0+000 - км 1+491; км 1+535 - км 8+860</t>
  </si>
  <si>
    <t>«Уразово-Герасимовка-Конотоповка»,                 км 6+620 - км 19+160</t>
  </si>
  <si>
    <t>ИТОГО по Валуйскому муниципальному округу</t>
  </si>
  <si>
    <t>Вейделевский район</t>
  </si>
  <si>
    <t>«Новый Оскол - Валуйки - Ровеньки» - Нехаевка, км 0+000 - км 1+600</t>
  </si>
  <si>
    <t>«Новый Оскол - Валуйки - Ровеньки» - Николаевка - Малакеево - Ромахово,                 км 21+700 - км 27+100</t>
  </si>
  <si>
    <t>Долгое - Россошь - Потоловка,                                          км 0+000 - км 7+000</t>
  </si>
  <si>
    <t xml:space="preserve">Долгое - Россошь - Потоловка, км 0+000 -                          км 7+000 </t>
  </si>
  <si>
    <t xml:space="preserve">Подъезд к селу Попасный,                                    км 0+000 - км 0+600 </t>
  </si>
  <si>
    <t>ИТОГО по Вейделевскому району</t>
  </si>
  <si>
    <t>Волоконовский район</t>
  </si>
  <si>
    <t>Подъезд к селу Грушевка,                                             км 0+000 - км 3+600</t>
  </si>
  <si>
    <t>Волоконовка - Покровка - Новохуторное - Засосна,  км 11+500 - км 24+200</t>
  </si>
  <si>
    <t>Обход п.Пятницкое, км 5+000 - км 10+000</t>
  </si>
  <si>
    <t>ИТОГО по Волоконовскому району</t>
  </si>
  <si>
    <t>Грайворонский муниципальный округ</t>
  </si>
  <si>
    <t>«Головчино - Доброполье» - Горьковский,              км 0+000 - км 1+700</t>
  </si>
  <si>
    <t>«Грайворон - Илёк-Пеньковка» - Почаево -Смородино, км 3+500 - км 8+470</t>
  </si>
  <si>
    <t xml:space="preserve">Белгород - Грайворон - Козинка, км 66+200 - км 69+100 </t>
  </si>
  <si>
    <t>ИТОГО по Грайворонскому муниципальному округу</t>
  </si>
  <si>
    <t>Губкинский городской округ</t>
  </si>
  <si>
    <t>Скородное - Кочки, км 3+200 - км 7+100</t>
  </si>
  <si>
    <t>Скородное - Чуево - Вязовое - Радьковка,       км 0+400 - км 1+200</t>
  </si>
  <si>
    <t>Сергиевка - Сарыкино - Копцево,                                                 км 5+600 - км 12+000</t>
  </si>
  <si>
    <t>Короча - Губкин - граница Курской области, км 19+500 - км 23+000</t>
  </si>
  <si>
    <t>Вислая Дубрава - Русановка - Чапкино,               км 0+000 - км 9+500</t>
  </si>
  <si>
    <t>ИТОГО по Губкинскому городскому округу</t>
  </si>
  <si>
    <t>Ивнянский район</t>
  </si>
  <si>
    <t>«Крым» - Новоселовка-Первая, км 0+000 -         км 1+000</t>
  </si>
  <si>
    <t>Ивня - Песчаное - Череново,                                      км 0+000 - км 4+892</t>
  </si>
  <si>
    <t>ИТОГО по Ивнянскому району</t>
  </si>
  <si>
    <t>Корочанский район</t>
  </si>
  <si>
    <t>«Короча - Новая Слободка - Хмелевое - Подольхи - Призначное» - Холодное,                  км 0+000 - км 1+500</t>
  </si>
  <si>
    <t>Подьезд к с. Шляхово, км 0+000 - км 2+300</t>
  </si>
  <si>
    <t>«Белгород - Новый Оскол - Советское» - Замостье, км 0+000 - км 2+200</t>
  </si>
  <si>
    <t>ИТОГО по Корочанскому району</t>
  </si>
  <si>
    <t>Красненский район</t>
  </si>
  <si>
    <t>Короча - Чернянка - Красное, км 100+700 -        км 104+800</t>
  </si>
  <si>
    <t>ИТОГО по Красненскому району</t>
  </si>
  <si>
    <t>Красногвардейский район</t>
  </si>
  <si>
    <t xml:space="preserve">«Белгород - Новый Оскол - Советское» - Веселое - Николаевский с подъездом к селу Николаевский, км 6+000 - км 11+400 </t>
  </si>
  <si>
    <t>ИТОГО по Красногвардейскому району:</t>
  </si>
  <si>
    <t>Краснояружский район</t>
  </si>
  <si>
    <t>«Грайворон - Илёк-Пеньковка» - Теребрено - Староселье, км 5+090 - км 10+400</t>
  </si>
  <si>
    <t>«Грайворон - Илёк-Пеньковка» - Теребрено - Староселье, км 0+000 - км 5+090</t>
  </si>
  <si>
    <t>ИТОГО по Краснояружскому району:</t>
  </si>
  <si>
    <t>Новооскольский муниципальный округ</t>
  </si>
  <si>
    <t>Великомихайловка - Подвислое,                         км 0+018 - км 2+800</t>
  </si>
  <si>
    <t xml:space="preserve">Беломестное - Слоновка - Николаевка - Львовка, км 0+000 - км 12+020;  км 23+485 - км 25+215                                  </t>
  </si>
  <si>
    <r>
      <rPr>
        <sz val="16"/>
        <rFont val="Times New Roman"/>
        <family val="1"/>
        <charset val="204"/>
      </rPr>
      <t>«Белгород - Новый Оскол - Советское» - Богородское,  км  0+053 - км 9+700</t>
    </r>
    <r>
      <rPr>
        <b/>
        <sz val="12"/>
        <rFont val="Times New Roman"/>
        <family val="1"/>
        <charset val="204"/>
      </rPr>
      <t xml:space="preserve"> </t>
    </r>
  </si>
  <si>
    <t>ИТОГО по Новооскольскому муниципальному округу</t>
  </si>
  <si>
    <t>Прохоровский район</t>
  </si>
  <si>
    <t>Подольхи - Гнездиловка - Черновка,                                          км 5+200 - км 8+300</t>
  </si>
  <si>
    <t>ИТОГО по Прохоровскому району</t>
  </si>
  <si>
    <t>Ракитянский район</t>
  </si>
  <si>
    <t>«Томаровка -Красная Яруга - Илек-Пеньковка - Колотиловка» - Коровино,                                                       км  6+300 - км 9+800</t>
  </si>
  <si>
    <t>ИТОГО по Ракитянскому району</t>
  </si>
  <si>
    <t>Ровеньский район</t>
  </si>
  <si>
    <t>«Белгород - Новый Оскол - Советское» - Айдар,  км 23+250 - км 27+000;                                                              км 32+250 - км 38+268</t>
  </si>
  <si>
    <t>«Белгород - Новый Оскол - Советское» - Айдар - Харьковское - Масловка,                        км 0+000 - км 9+500</t>
  </si>
  <si>
    <t>Белгород - Новый Оскол - Советское - Айдар, км 32+250 - км 38+268</t>
  </si>
  <si>
    <t>«Ровеньки - Шияны», км 0+000 - км 7+600</t>
  </si>
  <si>
    <t>«Ровеньки - Лозовое» - Ивановка, км 0+000 -    км 0+700</t>
  </si>
  <si>
    <t>ИТОГО по Ровеньскому району</t>
  </si>
  <si>
    <t>Старооскольский городской округ</t>
  </si>
  <si>
    <t>Старый Оскол - Песчанка - Николаевка,                                                                      км 0+000 - км 5+600</t>
  </si>
  <si>
    <t xml:space="preserve">Старый Оскол - Долгая Поляна,                           км 0+000 - км 11+400 </t>
  </si>
  <si>
    <t>Старый Оскол - Песчанка - Николаевка,             км 0+130 - км 5+600</t>
  </si>
  <si>
    <t>«Незнамово - Архангельское - Потудань - Роговатое» - Озерки - Выползово,                                км 0+000 - км 7+400</t>
  </si>
  <si>
    <t>Обход г. Старый Оскол, км 0+000 -                             км 5+500</t>
  </si>
  <si>
    <t>Роговатое - Преображенка - Менжулюк,                            км 0+000 - км 3+500</t>
  </si>
  <si>
    <t>ИТОГО по Старооскольскому городскому округу</t>
  </si>
  <si>
    <t>Чернянский район</t>
  </si>
  <si>
    <t>Старый Оскол -Чернянка - Новый Оскол - Ездочное - Холки, км 0+000 - км 7+900</t>
  </si>
  <si>
    <t xml:space="preserve"> </t>
  </si>
  <si>
    <t>Воскресеновка - Яблоново, км 0+000 -                км 3+700</t>
  </si>
  <si>
    <t>Сапрыкино - Орлик, км 4+700 - км 7+500</t>
  </si>
  <si>
    <t>ИТОГО по Чернянскому району</t>
  </si>
  <si>
    <t>Шебекинский муниципальный округ</t>
  </si>
  <si>
    <t>Белгород - Шебекино - Волоконовка,                  км 37+100 - км 45+800</t>
  </si>
  <si>
    <t>ИТОГО по Шебекинскому муниципальному округу</t>
  </si>
  <si>
    <t>Яковлевский муниципальный округ</t>
  </si>
  <si>
    <t>Томаровка - Строитель - «Крым»,                        км 6+400 - км 12+800</t>
  </si>
  <si>
    <t>ИТОГО по Яковлевскому муниципальному округу</t>
  </si>
  <si>
    <t>резерв</t>
  </si>
  <si>
    <t>Отремонтировано искусственных сооружений регионального значения</t>
  </si>
  <si>
    <t xml:space="preserve">Ремонт моста через ручей на км 23+800 автодороги Борисовка - Хотмыжск - Никитское - Русская Березовка </t>
  </si>
  <si>
    <t xml:space="preserve">Ремонт путепровода через ж/д на км 41+490      автодороги Новый Оскол - Валуйки - Ровеньки </t>
  </si>
  <si>
    <t>Ремонт моста через р. Лозовая на км 66+500 автодороги Белгород - Грайворон - Козинка</t>
  </si>
  <si>
    <t xml:space="preserve">Ремонт моста через р. Валуй на км 4+100            автодороги «Котляров - Ливенка» - Валуй  </t>
  </si>
  <si>
    <t xml:space="preserve">Ремонт моста через р.Донецкая Сеймица                  на км 9+800  автодороги Масловка - Кондровка - Радьковка  </t>
  </si>
  <si>
    <t xml:space="preserve">Ремонт моста через р. Боровая Потудань            на км 0+330 автодороги Владимировка - Боровая </t>
  </si>
  <si>
    <t>Капитально отремонтировано автодорог регионального значения и искусственных сооружений на них</t>
  </si>
  <si>
    <t xml:space="preserve">Капитальный ремонт автомобильной дороги «Алексеевка - Мухоудеровка» - Колтуновка (замена моста на водопропускную трубу             на км 2+000) </t>
  </si>
  <si>
    <t xml:space="preserve">ул. Студенческая - «Северо-Восточный обход города Белгорода» (ликвидация оползневых явлений на км 2+300 - км 2+700) </t>
  </si>
  <si>
    <t>ул. Студенческая - «Северо-Восточный обход города Белгорода» (ликвидация оползневых явлений на км 2+300 - км 2+700 -  II этап)</t>
  </si>
  <si>
    <t>«Северо - Восточный обход г. Белгорода» - Беломестное - Петропавловка - Киселево,          км 2+550 - км 3+160; км 5+000 - км 11+795  (устройство освещения и тротуара вдоль автодороги)</t>
  </si>
  <si>
    <t>Беломестное - Шишино, км 0+000 -                     км 3+300 (устройство освещения и тротуара вдоль автодороги)</t>
  </si>
  <si>
    <t>Дальняя Игуменка - Хохлово - Киселево,           км 6+850 - км 8+450; км 10+800 - км 11+000 (устройство освещения и тротуара вдоль автодороги)</t>
  </si>
  <si>
    <t>Хохловский - Хохлово, км 0+000 - км 1+900 (устройство освещения и тротуара вдоль автодороги)</t>
  </si>
  <si>
    <t>«Юго - Западный -2» - Комсомольский,               км 6+500 - км 7+900 (ликвидация оползневых явлений на развязке км 6+500)</t>
  </si>
  <si>
    <t>Северный подъезд к г. Белгороду,                        км 0+000 - км 3+400</t>
  </si>
  <si>
    <t>Борисовка - Пролетарский,                                   км 0+000 - км 1+500</t>
  </si>
  <si>
    <t>город Белгород</t>
  </si>
  <si>
    <t>Таврово - Соломино - Разумное, км 5+200 -       км 5+480 (устройство автопавильонов)</t>
  </si>
  <si>
    <t>ИТОГО по городу Белгороду</t>
  </si>
  <si>
    <t xml:space="preserve">Шаталовка - Роговатое (ликвидация оползневых явлений на км 1+900 - км 2+370) </t>
  </si>
  <si>
    <t xml:space="preserve">Шаталовка - Роговатое, км 1+650 -                      км 1+900  (переустройство водоотвода) </t>
  </si>
  <si>
    <t>Капитальный ремонт автодороги Белгород - Шебекино - Волоконовка (устройство остановки в с. Сурково)</t>
  </si>
  <si>
    <t>Капитально отремонтировано дорог по элементам обустройства (устройство недостающего электроосвещения)</t>
  </si>
  <si>
    <t>Церковный - Щетиновка - граница Борисовского района, км 0+000 - км 2+500;       км 10+000 - км 12+200  (Октябрьский - Церковный, Щетиновка)</t>
  </si>
  <si>
    <t xml:space="preserve">мкр. Новодубовской - мкр. Майский - 8,             км 0+000 - км 5+100 </t>
  </si>
  <si>
    <t>Валуйки - Пристень - Борки, км 0+000 -               км 5+200; км 14+400 - км 15+100 (Валуйки, Колыхалино, Кургашки)</t>
  </si>
  <si>
    <t>Грайворон - Новостроевка Вторая, км 0+000 -   км 1+700 (Грайворон, Новостроевка Первая, Новостроевка Вторая)</t>
  </si>
  <si>
    <t>Новый Оскол - Ниновка,                                       км 0+000 - км 1+500</t>
  </si>
  <si>
    <t>Ярское - Гнилица, км 0+000 - км 0+600;             км 5+200 - км  7+500  (Ярское, Чаусовка, Гнилица)</t>
  </si>
  <si>
    <t xml:space="preserve">Ровеньский район </t>
  </si>
  <si>
    <t>Свистовка - Ясены, км 0+000 - 3+700</t>
  </si>
  <si>
    <t>Подъезд к с. Городище, км 0+000 - 1+000</t>
  </si>
  <si>
    <t>Лапыгино - Новокладовое,                                    км 0+000 - км 3+900</t>
  </si>
  <si>
    <t>Транспортная развязка на автомобильной дороге Федосеевка - Гидроузел, км 0+000</t>
  </si>
  <si>
    <t>Шебекино - граница Украины,                              км 0+700 - 2+200</t>
  </si>
  <si>
    <t xml:space="preserve">Белгород - Шебекино - Волоконовка,                  км 26+000 - км 37+100                                                                              </t>
  </si>
  <si>
    <t>Шебекино - Неклюдово - Алексеевка,                  км 0+000 - км 1+300; км 15+600 - км 19+000</t>
  </si>
  <si>
    <t xml:space="preserve">Быковка - Дмитриевка - «Бутово - Курская Дуга», км 0+000 - км 3+000; км 5+900 -             км 10+100  (Быковка, Крапивное, Ворскла, Ольховка, Дмитриевка) </t>
  </si>
  <si>
    <t>Станция Сажное - Шахово,                                   км 0+000 - км 3+600; км 9+500 - км 10+700 (Сажное, Озерово, Шахово)</t>
  </si>
  <si>
    <t>Томаровка - «Крым» - Комсомольский - Красиво», км 0+000 - км 1+800 (Томаровка)</t>
  </si>
  <si>
    <t xml:space="preserve">«Белгород - Шебекино - Волоконовка» - Графовкав - Никольское,                                                                           км 0+091 - км 2+629; км 11+950 - км 15+294    </t>
  </si>
  <si>
    <t>«Белгород - Шебекино - Волоконовка» - Первое Цепляево - Знаменка,                                             км 0+060 - км 2+740; км 2+782 - км 3+714</t>
  </si>
  <si>
    <t xml:space="preserve">в том числе </t>
  </si>
  <si>
    <t xml:space="preserve"> - капитально отремонтировано</t>
  </si>
  <si>
    <t xml:space="preserve"> - отремонтировано</t>
  </si>
  <si>
    <t xml:space="preserve">Капитальный  ремонт моста  (левый) через       р. Искринка на км 9+840 автодороги                Белгород - Грайворон - Козинка </t>
  </si>
  <si>
    <t xml:space="preserve">Ремонт моста (правый) через р. Искринка         на км 9+840 автодороги Белгород -                  Грайворон - Козинка </t>
  </si>
  <si>
    <t xml:space="preserve">Капитальный ремонт путепровода                     над Магистралью 1-1 в составе транспортной развязки на км 10+800 </t>
  </si>
  <si>
    <t>Ремонт моста через р. Котел на км 14+990 автомобильной дороги Магистраль 1-1</t>
  </si>
  <si>
    <t>Капитальный ремонт автодороги Белгород - Шебекино - Волоконовка на участке                                       км 15+990 км 16+430 (устройство автобусных остановок)</t>
  </si>
  <si>
    <t xml:space="preserve">Чернянский район </t>
  </si>
  <si>
    <t>Владимировка - Новоалександровка - Ларисовка, км 0+000 - км 2+300</t>
  </si>
  <si>
    <t>Приложение  № 8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и развитие                       транспортной системы и дорожной сети Белгородской области»</t>
  </si>
  <si>
    <t>Октябрьский - Отрадное, км 0+000 -                   км 6+300 (Октябрьский, Отрадное,                                         Красная Нива)</t>
  </si>
  <si>
    <t>«Головчино - Ивановская Лисица -                       Косилово» - Грайворон - Илёк-Пеньковка,        км 0+000 - км 2+500 (с. Головчино);                  км 5+000 - км 7+000 (с. Ломное);                       км 12+000 - км 14+400 (с. Ивановская Лисица); км 19+500 - км 22+700                                (с. Косилово)</t>
  </si>
  <si>
    <t>Артельное - Белый Колодезь - Караичное - Верхнеберезово, км 12+914 - км 18+000</t>
  </si>
  <si>
    <t>«Еремовка - Ровеньки - Нижняя Серебрянка»  - Солонцы, км 0+000 - км 1+700</t>
  </si>
  <si>
    <t>Максимовка - Мешковое - Терезовка,                 км 0+000 - км 9+420</t>
  </si>
  <si>
    <t xml:space="preserve">Шаталовка - Луганка - Боровая - Высокий,         км 2+255 - км 8+255 </t>
  </si>
  <si>
    <t>Магистраль 1-1,                                                      км 8+000 - км 15+515 - 2025 год;                        км 21+515 - км 22+910;                                                      км 23+038 - км 25+356 - 2026 год</t>
  </si>
  <si>
    <t>Алексеевка - Мухоудеровка - Дальнее Чесночное с подъездом к селу Мухоудеровка,   км 13+100 - км 19+400 (Мухоудеровка); км 22+700 - км 27+700 (Ближнее Чесночное)</t>
  </si>
</sst>
</file>

<file path=xl/styles.xml><?xml version="1.0" encoding="utf-8"?>
<styleSheet xmlns="http://schemas.openxmlformats.org/spreadsheetml/2006/main">
  <numFmts count="12">
    <numFmt numFmtId="164" formatCode="#,##0.0"/>
    <numFmt numFmtId="165" formatCode="#,##0.00000"/>
    <numFmt numFmtId="166" formatCode="#,##0.000"/>
    <numFmt numFmtId="167" formatCode="0.000"/>
    <numFmt numFmtId="168" formatCode="0.0"/>
    <numFmt numFmtId="169" formatCode="#,##0.000_р_."/>
    <numFmt numFmtId="170" formatCode="#,##0.0_р_."/>
    <numFmt numFmtId="171" formatCode="_-* #,##0.00_р_._-;\-* #,##0.00_р_._-;_-* \-??_р_._-;_-@_-"/>
    <numFmt numFmtId="172" formatCode="_-* #,##0.0_р_._-;\-* #,##0.0_р_._-;_-* \-??_р_._-;_-@_-"/>
    <numFmt numFmtId="173" formatCode="#,##0.0000"/>
    <numFmt numFmtId="174" formatCode="#,##0.0;[Red]#,##0.0"/>
    <numFmt numFmtId="175" formatCode="#,##0.000;[Red]#,##0.000"/>
  </numFmts>
  <fonts count="18">
    <font>
      <sz val="10"/>
      <name val="Arial Cyr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FFFF"/>
        <bgColor rgb="FFCCFFFF"/>
      </patternFill>
    </fill>
    <fill>
      <patternFill patternType="solid">
        <fgColor theme="7" tint="0.59987182226020086"/>
        <bgColor rgb="FFFF99CC"/>
      </patternFill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</borders>
  <cellStyleXfs count="13">
    <xf numFmtId="0" fontId="0" fillId="0" borderId="0"/>
    <xf numFmtId="171" fontId="17" fillId="0" borderId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7" fillId="0" borderId="0"/>
    <xf numFmtId="0" fontId="2" fillId="0" borderId="0"/>
    <xf numFmtId="0" fontId="3" fillId="0" borderId="0"/>
    <xf numFmtId="0" fontId="2" fillId="0" borderId="0"/>
    <xf numFmtId="0" fontId="2" fillId="0" borderId="0"/>
  </cellStyleXfs>
  <cellXfs count="216">
    <xf numFmtId="0" fontId="0" fillId="0" borderId="0" xfId="0"/>
    <xf numFmtId="0" fontId="4" fillId="0" borderId="0" xfId="10" applyFont="1" applyAlignment="1" applyProtection="1">
      <alignment horizontal="center"/>
    </xf>
    <xf numFmtId="0" fontId="4" fillId="0" borderId="0" xfId="10" applyFont="1" applyAlignment="1" applyProtection="1"/>
    <xf numFmtId="0" fontId="4" fillId="2" borderId="0" xfId="10" applyFont="1" applyFill="1" applyAlignment="1" applyProtection="1"/>
    <xf numFmtId="0" fontId="5" fillId="0" borderId="0" xfId="10" applyFont="1" applyAlignment="1" applyProtection="1">
      <alignment horizontal="center"/>
    </xf>
    <xf numFmtId="0" fontId="5" fillId="0" borderId="0" xfId="10" applyFont="1" applyAlignment="1" applyProtection="1"/>
    <xf numFmtId="0" fontId="6" fillId="0" borderId="0" xfId="10" applyFont="1" applyAlignment="1" applyProtection="1"/>
    <xf numFmtId="0" fontId="0" fillId="0" borderId="0" xfId="0" applyAlignment="1" applyProtection="1"/>
    <xf numFmtId="0" fontId="6" fillId="0" borderId="0" xfId="0" applyFont="1" applyAlignment="1" applyProtection="1">
      <alignment vertical="top" wrapText="1"/>
    </xf>
    <xf numFmtId="0" fontId="6" fillId="0" borderId="0" xfId="10" applyFont="1" applyAlignment="1" applyProtection="1">
      <alignment vertical="center" wrapText="1"/>
    </xf>
    <xf numFmtId="0" fontId="6" fillId="0" borderId="0" xfId="10" applyFont="1" applyAlignment="1" applyProtection="1">
      <alignment horizontal="center" vertical="center" wrapText="1"/>
    </xf>
    <xf numFmtId="0" fontId="7" fillId="0" borderId="0" xfId="0" applyFont="1" applyAlignment="1" applyProtection="1"/>
    <xf numFmtId="0" fontId="6" fillId="0" borderId="0" xfId="10" applyFont="1" applyAlignment="1" applyProtection="1">
      <alignment horizontal="center"/>
    </xf>
    <xf numFmtId="0" fontId="3" fillId="0" borderId="0" xfId="10" applyFont="1" applyAlignment="1" applyProtection="1"/>
    <xf numFmtId="0" fontId="8" fillId="0" borderId="5" xfId="10" applyFont="1" applyBorder="1" applyAlignment="1" applyProtection="1">
      <alignment horizontal="center" vertical="center"/>
    </xf>
    <xf numFmtId="0" fontId="8" fillId="0" borderId="6" xfId="10" applyFont="1" applyBorder="1" applyAlignment="1" applyProtection="1">
      <alignment horizontal="center" vertical="center"/>
    </xf>
    <xf numFmtId="0" fontId="8" fillId="0" borderId="7" xfId="10" applyFont="1" applyBorder="1" applyAlignment="1" applyProtection="1">
      <alignment horizontal="center" vertical="center"/>
    </xf>
    <xf numFmtId="0" fontId="8" fillId="0" borderId="0" xfId="10" applyFont="1" applyBorder="1" applyAlignment="1" applyProtection="1">
      <alignment horizontal="center" vertical="center"/>
    </xf>
    <xf numFmtId="0" fontId="3" fillId="0" borderId="0" xfId="10" applyFont="1" applyBorder="1" applyAlignment="1" applyProtection="1"/>
    <xf numFmtId="0" fontId="5" fillId="0" borderId="0" xfId="10" applyFont="1" applyBorder="1" applyAlignment="1" applyProtection="1"/>
    <xf numFmtId="0" fontId="8" fillId="0" borderId="0" xfId="10" applyFont="1" applyBorder="1" applyAlignment="1" applyProtection="1">
      <alignment horizontal="center" vertical="center" wrapText="1"/>
    </xf>
    <xf numFmtId="0" fontId="8" fillId="0" borderId="8" xfId="10" applyFont="1" applyBorder="1" applyAlignment="1" applyProtection="1">
      <alignment horizontal="center" vertical="center"/>
    </xf>
    <xf numFmtId="0" fontId="0" fillId="0" borderId="0" xfId="0" applyBorder="1" applyAlignment="1" applyProtection="1"/>
    <xf numFmtId="0" fontId="8" fillId="0" borderId="1" xfId="10" applyFont="1" applyBorder="1" applyAlignment="1" applyProtection="1">
      <alignment horizontal="center" vertical="center"/>
    </xf>
    <xf numFmtId="0" fontId="8" fillId="0" borderId="2" xfId="10" applyFont="1" applyBorder="1" applyAlignment="1" applyProtection="1">
      <alignment horizontal="center" vertical="center"/>
    </xf>
    <xf numFmtId="0" fontId="5" fillId="0" borderId="14" xfId="10" applyFont="1" applyBorder="1" applyAlignment="1" applyProtection="1"/>
    <xf numFmtId="0" fontId="8" fillId="0" borderId="15" xfId="10" applyFont="1" applyBorder="1" applyAlignment="1" applyProtection="1">
      <alignment horizontal="center" vertical="center"/>
    </xf>
    <xf numFmtId="0" fontId="8" fillId="0" borderId="16" xfId="10" applyFont="1" applyBorder="1" applyAlignment="1" applyProtection="1">
      <alignment horizontal="center" vertical="center"/>
    </xf>
    <xf numFmtId="164" fontId="5" fillId="0" borderId="0" xfId="10" applyNumberFormat="1" applyFont="1" applyBorder="1" applyAlignment="1" applyProtection="1"/>
    <xf numFmtId="0" fontId="8" fillId="0" borderId="18" xfId="10" applyFont="1" applyBorder="1" applyAlignment="1" applyProtection="1">
      <alignment horizontal="center" vertical="top" wrapText="1"/>
    </xf>
    <xf numFmtId="0" fontId="11" fillId="0" borderId="0" xfId="10" applyFont="1" applyBorder="1" applyAlignment="1" applyProtection="1"/>
    <xf numFmtId="0" fontId="8" fillId="0" borderId="18" xfId="10" applyFont="1" applyBorder="1" applyAlignment="1" applyProtection="1">
      <alignment horizontal="center" wrapText="1"/>
    </xf>
    <xf numFmtId="0" fontId="10" fillId="0" borderId="9" xfId="0" applyFont="1" applyBorder="1" applyAlignment="1" applyProtection="1">
      <alignment vertical="center" wrapText="1"/>
    </xf>
    <xf numFmtId="0" fontId="11" fillId="0" borderId="9" xfId="10" applyFont="1" applyBorder="1" applyAlignment="1" applyProtection="1"/>
    <xf numFmtId="164" fontId="8" fillId="0" borderId="9" xfId="10" applyNumberFormat="1" applyFont="1" applyBorder="1" applyAlignment="1" applyProtection="1">
      <alignment horizontal="center" vertical="center" wrapText="1"/>
    </xf>
    <xf numFmtId="3" fontId="8" fillId="0" borderId="9" xfId="10" applyNumberFormat="1" applyFont="1" applyBorder="1" applyAlignment="1" applyProtection="1">
      <alignment horizontal="center" vertical="center" wrapText="1"/>
    </xf>
    <xf numFmtId="164" fontId="8" fillId="0" borderId="10" xfId="10" applyNumberFormat="1" applyFont="1" applyBorder="1" applyAlignment="1" applyProtection="1">
      <alignment horizontal="center" vertical="center" wrapText="1"/>
    </xf>
    <xf numFmtId="164" fontId="8" fillId="0" borderId="11" xfId="10" applyNumberFormat="1" applyFont="1" applyBorder="1" applyAlignment="1" applyProtection="1">
      <alignment horizontal="center" vertical="center" wrapText="1"/>
    </xf>
    <xf numFmtId="164" fontId="8" fillId="0" borderId="19" xfId="10" applyNumberFormat="1" applyFont="1" applyBorder="1" applyAlignment="1" applyProtection="1">
      <alignment horizontal="center" vertical="center" wrapText="1"/>
    </xf>
    <xf numFmtId="164" fontId="8" fillId="0" borderId="20" xfId="10" applyNumberFormat="1" applyFont="1" applyBorder="1" applyAlignment="1" applyProtection="1">
      <alignment horizontal="center" vertical="center" wrapText="1"/>
    </xf>
    <xf numFmtId="164" fontId="8" fillId="0" borderId="0" xfId="10" applyNumberFormat="1" applyFont="1" applyAlignment="1" applyProtection="1">
      <alignment vertical="center" wrapText="1"/>
    </xf>
    <xf numFmtId="164" fontId="11" fillId="0" borderId="0" xfId="10" applyNumberFormat="1" applyFont="1" applyAlignment="1" applyProtection="1">
      <alignment vertical="center" wrapText="1"/>
    </xf>
    <xf numFmtId="0" fontId="11" fillId="0" borderId="0" xfId="10" applyFont="1" applyAlignment="1" applyProtection="1">
      <alignment vertical="center" wrapText="1"/>
    </xf>
    <xf numFmtId="0" fontId="11" fillId="0" borderId="9" xfId="10" applyFont="1" applyBorder="1" applyAlignment="1" applyProtection="1">
      <alignment vertical="center" wrapText="1"/>
    </xf>
    <xf numFmtId="3" fontId="11" fillId="0" borderId="9" xfId="10" applyNumberFormat="1" applyFont="1" applyBorder="1" applyAlignment="1" applyProtection="1">
      <alignment vertical="center" wrapText="1"/>
    </xf>
    <xf numFmtId="164" fontId="11" fillId="0" borderId="9" xfId="10" applyNumberFormat="1" applyFont="1" applyBorder="1" applyAlignment="1" applyProtection="1">
      <alignment vertical="center" wrapText="1"/>
    </xf>
    <xf numFmtId="164" fontId="12" fillId="0" borderId="10" xfId="10" applyNumberFormat="1" applyFont="1" applyBorder="1" applyAlignment="1" applyProtection="1">
      <alignment horizontal="center" vertical="center" wrapText="1"/>
    </xf>
    <xf numFmtId="164" fontId="11" fillId="0" borderId="11" xfId="10" applyNumberFormat="1" applyFont="1" applyBorder="1" applyAlignment="1" applyProtection="1">
      <alignment horizontal="center" vertical="center" wrapText="1"/>
    </xf>
    <xf numFmtId="164" fontId="11" fillId="0" borderId="0" xfId="10" applyNumberFormat="1" applyFont="1" applyBorder="1" applyAlignment="1" applyProtection="1">
      <alignment horizontal="center" vertical="center" wrapText="1"/>
    </xf>
    <xf numFmtId="164" fontId="3" fillId="0" borderId="0" xfId="10" applyNumberFormat="1" applyFont="1" applyAlignment="1" applyProtection="1"/>
    <xf numFmtId="165" fontId="11" fillId="0" borderId="0" xfId="10" applyNumberFormat="1" applyFont="1" applyAlignment="1" applyProtection="1">
      <alignment vertical="center" wrapText="1"/>
    </xf>
    <xf numFmtId="0" fontId="11" fillId="0" borderId="9" xfId="10" applyFont="1" applyBorder="1" applyAlignment="1" applyProtection="1">
      <alignment horizontal="left" vertical="center" wrapText="1"/>
    </xf>
    <xf numFmtId="0" fontId="11" fillId="0" borderId="9" xfId="10" applyFont="1" applyBorder="1" applyAlignment="1" applyProtection="1">
      <alignment horizontal="center" vertical="center" wrapText="1"/>
    </xf>
    <xf numFmtId="167" fontId="11" fillId="0" borderId="9" xfId="10" applyNumberFormat="1" applyFont="1" applyBorder="1" applyAlignment="1" applyProtection="1">
      <alignment horizontal="center" vertical="center"/>
    </xf>
    <xf numFmtId="3" fontId="11" fillId="0" borderId="9" xfId="10" applyNumberFormat="1" applyFont="1" applyBorder="1" applyAlignment="1" applyProtection="1">
      <alignment horizontal="center" vertical="center"/>
    </xf>
    <xf numFmtId="3" fontId="11" fillId="0" borderId="9" xfId="10" applyNumberFormat="1" applyFont="1" applyBorder="1" applyAlignment="1" applyProtection="1">
      <alignment horizontal="center" vertical="center" wrapText="1"/>
    </xf>
    <xf numFmtId="4" fontId="11" fillId="0" borderId="9" xfId="10" applyNumberFormat="1" applyFont="1" applyBorder="1" applyAlignment="1" applyProtection="1">
      <alignment horizontal="center" vertical="center" wrapText="1"/>
    </xf>
    <xf numFmtId="3" fontId="5" fillId="0" borderId="0" xfId="10" applyNumberFormat="1" applyFont="1" applyBorder="1" applyAlignment="1" applyProtection="1">
      <alignment horizontal="center" vertical="center" wrapText="1"/>
    </xf>
    <xf numFmtId="0" fontId="11" fillId="0" borderId="18" xfId="10" applyFont="1" applyBorder="1" applyAlignment="1" applyProtection="1">
      <alignment horizontal="center" wrapText="1"/>
    </xf>
    <xf numFmtId="0" fontId="8" fillId="0" borderId="9" xfId="10" applyFont="1" applyBorder="1" applyAlignment="1" applyProtection="1">
      <alignment horizontal="left" vertical="center" wrapText="1"/>
    </xf>
    <xf numFmtId="168" fontId="8" fillId="0" borderId="9" xfId="10" applyNumberFormat="1" applyFont="1" applyBorder="1" applyAlignment="1" applyProtection="1">
      <alignment horizontal="center" vertical="center" wrapText="1"/>
    </xf>
    <xf numFmtId="4" fontId="8" fillId="0" borderId="10" xfId="10" applyNumberFormat="1" applyFont="1" applyBorder="1" applyAlignment="1" applyProtection="1">
      <alignment horizontal="center" vertical="center" wrapText="1"/>
    </xf>
    <xf numFmtId="4" fontId="8" fillId="0" borderId="11" xfId="10" applyNumberFormat="1" applyFont="1" applyBorder="1" applyAlignment="1" applyProtection="1">
      <alignment horizontal="center" vertical="center" wrapText="1"/>
    </xf>
    <xf numFmtId="4" fontId="8" fillId="0" borderId="0" xfId="10" applyNumberFormat="1" applyFont="1" applyBorder="1" applyAlignment="1" applyProtection="1">
      <alignment horizontal="center" vertical="center" wrapText="1"/>
    </xf>
    <xf numFmtId="169" fontId="11" fillId="0" borderId="9" xfId="9" applyNumberFormat="1" applyFont="1" applyBorder="1" applyAlignment="1" applyProtection="1">
      <alignment horizontal="center" vertical="center" wrapText="1"/>
    </xf>
    <xf numFmtId="170" fontId="11" fillId="0" borderId="9" xfId="9" applyNumberFormat="1" applyFont="1" applyBorder="1" applyAlignment="1" applyProtection="1">
      <alignment horizontal="center" vertical="center" wrapText="1"/>
    </xf>
    <xf numFmtId="167" fontId="11" fillId="0" borderId="9" xfId="10" applyNumberFormat="1" applyFont="1" applyBorder="1" applyAlignment="1" applyProtection="1">
      <alignment horizontal="center" vertical="center" wrapText="1"/>
    </xf>
    <xf numFmtId="167" fontId="13" fillId="0" borderId="9" xfId="10" applyNumberFormat="1" applyFont="1" applyBorder="1" applyAlignment="1" applyProtection="1">
      <alignment horizontal="center" vertical="center"/>
    </xf>
    <xf numFmtId="0" fontId="11" fillId="0" borderId="0" xfId="10" applyFont="1" applyBorder="1" applyAlignment="1" applyProtection="1">
      <alignment vertical="center" wrapText="1"/>
    </xf>
    <xf numFmtId="164" fontId="8" fillId="0" borderId="0" xfId="10" applyNumberFormat="1" applyFont="1" applyBorder="1" applyAlignment="1" applyProtection="1">
      <alignment horizontal="center" vertical="center" wrapText="1"/>
    </xf>
    <xf numFmtId="0" fontId="11" fillId="0" borderId="21" xfId="10" applyFont="1" applyBorder="1" applyAlignment="1" applyProtection="1">
      <alignment horizontal="center" wrapText="1"/>
    </xf>
    <xf numFmtId="2" fontId="8" fillId="0" borderId="9" xfId="10" applyNumberFormat="1" applyFont="1" applyBorder="1" applyAlignment="1" applyProtection="1">
      <alignment horizontal="center" vertical="center" wrapText="1"/>
    </xf>
    <xf numFmtId="169" fontId="11" fillId="0" borderId="9" xfId="10" applyNumberFormat="1" applyFont="1" applyBorder="1" applyAlignment="1" applyProtection="1">
      <alignment horizontal="center" vertical="center" wrapText="1"/>
    </xf>
    <xf numFmtId="4" fontId="11" fillId="0" borderId="10" xfId="10" applyNumberFormat="1" applyFont="1" applyBorder="1" applyAlignment="1" applyProtection="1">
      <alignment horizontal="center" vertical="center" wrapText="1"/>
    </xf>
    <xf numFmtId="164" fontId="13" fillId="0" borderId="9" xfId="10" applyNumberFormat="1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left" vertical="center" wrapText="1"/>
    </xf>
    <xf numFmtId="3" fontId="13" fillId="0" borderId="9" xfId="10" applyNumberFormat="1" applyFont="1" applyBorder="1" applyAlignment="1" applyProtection="1">
      <alignment horizontal="center" vertical="center"/>
    </xf>
    <xf numFmtId="166" fontId="11" fillId="0" borderId="0" xfId="10" applyNumberFormat="1" applyFont="1" applyBorder="1" applyAlignment="1" applyProtection="1">
      <alignment horizontal="center" vertical="center" wrapText="1"/>
    </xf>
    <xf numFmtId="168" fontId="11" fillId="0" borderId="22" xfId="0" applyNumberFormat="1" applyFont="1" applyBorder="1" applyAlignment="1" applyProtection="1">
      <alignment horizontal="left" vertical="center" wrapText="1"/>
    </xf>
    <xf numFmtId="166" fontId="11" fillId="0" borderId="22" xfId="10" applyNumberFormat="1" applyFont="1" applyBorder="1" applyAlignment="1" applyProtection="1">
      <alignment horizontal="center" vertical="center" wrapText="1"/>
    </xf>
    <xf numFmtId="164" fontId="11" fillId="0" borderId="23" xfId="10" applyNumberFormat="1" applyFont="1" applyBorder="1" applyAlignment="1" applyProtection="1">
      <alignment horizontal="center" vertical="center" wrapText="1"/>
    </xf>
    <xf numFmtId="166" fontId="11" fillId="0" borderId="23" xfId="10" applyNumberFormat="1" applyFont="1" applyBorder="1" applyAlignment="1" applyProtection="1">
      <alignment horizontal="center" vertical="center" wrapText="1"/>
    </xf>
    <xf numFmtId="172" fontId="8" fillId="0" borderId="9" xfId="1" applyNumberFormat="1" applyFont="1" applyBorder="1" applyAlignment="1" applyProtection="1">
      <alignment horizontal="center" vertical="center" wrapText="1"/>
    </xf>
    <xf numFmtId="168" fontId="11" fillId="0" borderId="9" xfId="10" applyNumberFormat="1" applyFont="1" applyBorder="1" applyAlignment="1" applyProtection="1">
      <alignment horizontal="center" vertical="center" wrapText="1"/>
    </xf>
    <xf numFmtId="164" fontId="15" fillId="0" borderId="9" xfId="10" applyNumberFormat="1" applyFont="1" applyBorder="1" applyAlignment="1" applyProtection="1">
      <alignment horizontal="center" vertical="center" wrapText="1"/>
    </xf>
    <xf numFmtId="168" fontId="11" fillId="0" borderId="0" xfId="10" applyNumberFormat="1" applyFont="1" applyAlignment="1" applyProtection="1">
      <alignment vertical="center" wrapText="1"/>
    </xf>
    <xf numFmtId="170" fontId="10" fillId="0" borderId="9" xfId="0" applyNumberFormat="1" applyFont="1" applyBorder="1" applyAlignment="1" applyProtection="1">
      <alignment horizontal="center" vertical="center" wrapText="1"/>
    </xf>
    <xf numFmtId="164" fontId="10" fillId="0" borderId="9" xfId="0" applyNumberFormat="1" applyFont="1" applyBorder="1" applyAlignment="1" applyProtection="1">
      <alignment horizontal="center" vertical="center" wrapText="1"/>
    </xf>
    <xf numFmtId="164" fontId="10" fillId="0" borderId="11" xfId="0" applyNumberFormat="1" applyFont="1" applyBorder="1" applyAlignment="1" applyProtection="1">
      <alignment horizontal="center" vertical="center" wrapText="1"/>
    </xf>
    <xf numFmtId="167" fontId="14" fillId="0" borderId="9" xfId="10" applyNumberFormat="1" applyFont="1" applyBorder="1" applyAlignment="1" applyProtection="1">
      <alignment horizontal="center" vertical="center"/>
    </xf>
    <xf numFmtId="164" fontId="14" fillId="3" borderId="9" xfId="10" applyNumberFormat="1" applyFont="1" applyFill="1" applyBorder="1" applyAlignment="1" applyProtection="1">
      <alignment horizontal="center" vertical="center"/>
    </xf>
    <xf numFmtId="4" fontId="13" fillId="0" borderId="9" xfId="10" applyNumberFormat="1" applyFont="1" applyBorder="1" applyAlignment="1" applyProtection="1">
      <alignment horizontal="center" vertical="center"/>
    </xf>
    <xf numFmtId="170" fontId="11" fillId="0" borderId="9" xfId="10" applyNumberFormat="1" applyFont="1" applyBorder="1" applyAlignment="1" applyProtection="1">
      <alignment horizontal="center" vertical="center" wrapText="1"/>
    </xf>
    <xf numFmtId="4" fontId="14" fillId="0" borderId="9" xfId="10" applyNumberFormat="1" applyFont="1" applyBorder="1" applyAlignment="1" applyProtection="1">
      <alignment horizontal="center" vertical="center"/>
    </xf>
    <xf numFmtId="168" fontId="11" fillId="0" borderId="10" xfId="0" applyNumberFormat="1" applyFont="1" applyBorder="1" applyAlignment="1" applyProtection="1">
      <alignment horizontal="left" vertical="center" wrapText="1"/>
    </xf>
    <xf numFmtId="0" fontId="8" fillId="0" borderId="10" xfId="1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5" fillId="0" borderId="0" xfId="10" applyFont="1" applyAlignment="1" applyProtection="1">
      <alignment vertical="center" wrapText="1"/>
    </xf>
    <xf numFmtId="0" fontId="10" fillId="0" borderId="9" xfId="0" applyFont="1" applyBorder="1" applyAlignment="1" applyProtection="1">
      <alignment horizontal="left" vertical="top" wrapText="1"/>
    </xf>
    <xf numFmtId="170" fontId="8" fillId="0" borderId="9" xfId="10" applyNumberFormat="1" applyFont="1" applyBorder="1" applyAlignment="1" applyProtection="1">
      <alignment horizontal="center" vertical="center" wrapText="1"/>
    </xf>
    <xf numFmtId="0" fontId="0" fillId="0" borderId="9" xfId="0" applyBorder="1" applyAlignment="1" applyProtection="1"/>
    <xf numFmtId="166" fontId="8" fillId="0" borderId="9" xfId="10" applyNumberFormat="1" applyFont="1" applyBorder="1" applyAlignment="1" applyProtection="1">
      <alignment horizontal="center" vertical="center" wrapText="1"/>
    </xf>
    <xf numFmtId="3" fontId="8" fillId="0" borderId="10" xfId="10" applyNumberFormat="1" applyFont="1" applyBorder="1" applyAlignment="1" applyProtection="1">
      <alignment horizontal="center" vertical="center" wrapText="1"/>
    </xf>
    <xf numFmtId="3" fontId="8" fillId="0" borderId="11" xfId="10" applyNumberFormat="1" applyFont="1" applyBorder="1" applyAlignment="1" applyProtection="1">
      <alignment horizontal="center" vertical="center" wrapText="1"/>
    </xf>
    <xf numFmtId="3" fontId="8" fillId="0" borderId="0" xfId="10" applyNumberFormat="1" applyFont="1" applyBorder="1" applyAlignment="1" applyProtection="1">
      <alignment horizontal="center" vertical="center" wrapText="1"/>
    </xf>
    <xf numFmtId="167" fontId="13" fillId="0" borderId="9" xfId="10" applyNumberFormat="1" applyFont="1" applyBorder="1" applyAlignment="1" applyProtection="1">
      <alignment horizontal="center" vertical="center" wrapText="1"/>
    </xf>
    <xf numFmtId="164" fontId="11" fillId="0" borderId="22" xfId="10" applyNumberFormat="1" applyFont="1" applyBorder="1" applyAlignment="1" applyProtection="1">
      <alignment horizontal="center" vertical="center" wrapText="1"/>
    </xf>
    <xf numFmtId="173" fontId="11" fillId="0" borderId="9" xfId="10" applyNumberFormat="1" applyFont="1" applyBorder="1" applyAlignment="1" applyProtection="1">
      <alignment horizontal="center" vertical="center" wrapText="1"/>
    </xf>
    <xf numFmtId="0" fontId="11" fillId="0" borderId="9" xfId="0" applyFont="1" applyBorder="1" applyAlignment="1" applyProtection="1">
      <alignment vertical="top" wrapText="1"/>
    </xf>
    <xf numFmtId="0" fontId="11" fillId="0" borderId="21" xfId="10" applyFont="1" applyBorder="1" applyAlignment="1" applyProtection="1">
      <alignment horizontal="center" vertical="top" wrapText="1"/>
    </xf>
    <xf numFmtId="0" fontId="4" fillId="0" borderId="0" xfId="10" applyFont="1" applyAlignment="1" applyProtection="1">
      <alignment vertical="center" wrapText="1"/>
    </xf>
    <xf numFmtId="0" fontId="10" fillId="0" borderId="9" xfId="0" applyFont="1" applyBorder="1" applyAlignment="1" applyProtection="1">
      <alignment horizontal="center" vertical="center" wrapText="1"/>
    </xf>
    <xf numFmtId="174" fontId="10" fillId="0" borderId="9" xfId="0" applyNumberFormat="1" applyFont="1" applyBorder="1" applyAlignment="1" applyProtection="1">
      <alignment horizontal="center" vertical="center" wrapText="1"/>
    </xf>
    <xf numFmtId="174" fontId="10" fillId="0" borderId="10" xfId="0" applyNumberFormat="1" applyFont="1" applyBorder="1" applyAlignment="1" applyProtection="1">
      <alignment horizontal="center" vertical="center" wrapText="1"/>
    </xf>
    <xf numFmtId="174" fontId="10" fillId="0" borderId="11" xfId="0" applyNumberFormat="1" applyFont="1" applyBorder="1" applyAlignment="1" applyProtection="1">
      <alignment horizontal="center" vertical="center" wrapText="1"/>
    </xf>
    <xf numFmtId="174" fontId="10" fillId="0" borderId="0" xfId="0" applyNumberFormat="1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left" vertical="top" wrapText="1"/>
    </xf>
    <xf numFmtId="0" fontId="10" fillId="0" borderId="11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left" vertical="top" wrapText="1"/>
    </xf>
    <xf numFmtId="0" fontId="16" fillId="0" borderId="9" xfId="0" applyFont="1" applyBorder="1" applyAlignment="1" applyProtection="1">
      <alignment vertical="center" wrapText="1"/>
    </xf>
    <xf numFmtId="174" fontId="11" fillId="0" borderId="9" xfId="0" applyNumberFormat="1" applyFont="1" applyBorder="1" applyAlignment="1" applyProtection="1">
      <alignment horizontal="center" vertical="center"/>
    </xf>
    <xf numFmtId="174" fontId="11" fillId="0" borderId="10" xfId="0" applyNumberFormat="1" applyFont="1" applyBorder="1" applyAlignment="1" applyProtection="1">
      <alignment horizontal="center" vertical="center"/>
    </xf>
    <xf numFmtId="174" fontId="11" fillId="0" borderId="11" xfId="0" applyNumberFormat="1" applyFont="1" applyBorder="1" applyAlignment="1" applyProtection="1">
      <alignment horizontal="center" vertical="center"/>
    </xf>
    <xf numFmtId="174" fontId="11" fillId="0" borderId="0" xfId="0" applyNumberFormat="1" applyFont="1" applyBorder="1" applyAlignment="1" applyProtection="1">
      <alignment horizontal="center" vertical="center"/>
    </xf>
    <xf numFmtId="169" fontId="8" fillId="0" borderId="9" xfId="10" applyNumberFormat="1" applyFont="1" applyBorder="1" applyAlignment="1" applyProtection="1">
      <alignment horizontal="center" vertical="center" wrapText="1"/>
    </xf>
    <xf numFmtId="174" fontId="8" fillId="0" borderId="10" xfId="0" applyNumberFormat="1" applyFont="1" applyBorder="1" applyAlignment="1" applyProtection="1">
      <alignment horizontal="center" vertical="center"/>
    </xf>
    <xf numFmtId="174" fontId="8" fillId="0" borderId="9" xfId="0" applyNumberFormat="1" applyFont="1" applyBorder="1" applyAlignment="1" applyProtection="1">
      <alignment horizontal="center" vertical="center"/>
    </xf>
    <xf numFmtId="174" fontId="8" fillId="0" borderId="11" xfId="0" applyNumberFormat="1" applyFont="1" applyBorder="1" applyAlignment="1" applyProtection="1">
      <alignment horizontal="center" vertical="center"/>
    </xf>
    <xf numFmtId="174" fontId="8" fillId="0" borderId="0" xfId="0" applyNumberFormat="1" applyFont="1" applyBorder="1" applyAlignment="1" applyProtection="1">
      <alignment horizontal="center" vertical="center"/>
    </xf>
    <xf numFmtId="169" fontId="16" fillId="0" borderId="9" xfId="0" applyNumberFormat="1" applyFont="1" applyBorder="1" applyAlignment="1" applyProtection="1">
      <alignment horizontal="center" vertical="center" wrapText="1"/>
    </xf>
    <xf numFmtId="175" fontId="11" fillId="0" borderId="9" xfId="0" applyNumberFormat="1" applyFont="1" applyBorder="1" applyAlignment="1" applyProtection="1">
      <alignment horizontal="center" vertical="center"/>
    </xf>
    <xf numFmtId="0" fontId="10" fillId="4" borderId="9" xfId="0" applyFont="1" applyFill="1" applyBorder="1" applyAlignment="1" applyProtection="1">
      <alignment horizontal="left" vertical="top" wrapText="1"/>
    </xf>
    <xf numFmtId="0" fontId="16" fillId="0" borderId="9" xfId="0" applyFont="1" applyBorder="1" applyAlignment="1" applyProtection="1">
      <alignment horizontal="center" vertical="center" wrapText="1"/>
    </xf>
    <xf numFmtId="174" fontId="11" fillId="2" borderId="0" xfId="0" applyNumberFormat="1" applyFont="1" applyFill="1" applyBorder="1" applyAlignment="1" applyProtection="1">
      <alignment horizontal="center" vertical="center"/>
    </xf>
    <xf numFmtId="168" fontId="11" fillId="0" borderId="9" xfId="0" applyNumberFormat="1" applyFont="1" applyBorder="1" applyAlignment="1" applyProtection="1">
      <alignment horizontal="left" vertical="top" wrapText="1"/>
    </xf>
    <xf numFmtId="0" fontId="4" fillId="0" borderId="9" xfId="10" applyFont="1" applyBorder="1" applyAlignment="1" applyProtection="1">
      <alignment vertical="center" wrapText="1"/>
    </xf>
    <xf numFmtId="0" fontId="3" fillId="0" borderId="9" xfId="10" applyFont="1" applyBorder="1" applyAlignment="1" applyProtection="1"/>
    <xf numFmtId="0" fontId="4" fillId="0" borderId="10" xfId="10" applyFont="1" applyBorder="1" applyAlignment="1" applyProtection="1">
      <alignment vertical="center" wrapText="1"/>
    </xf>
    <xf numFmtId="0" fontId="4" fillId="0" borderId="11" xfId="10" applyFont="1" applyBorder="1" applyAlignment="1" applyProtection="1">
      <alignment vertical="center" wrapText="1"/>
    </xf>
    <xf numFmtId="0" fontId="4" fillId="0" borderId="0" xfId="10" applyFont="1" applyBorder="1" applyAlignment="1" applyProtection="1">
      <alignment vertical="center" wrapText="1"/>
    </xf>
    <xf numFmtId="0" fontId="11" fillId="0" borderId="8" xfId="10" applyFont="1" applyBorder="1" applyAlignment="1" applyProtection="1">
      <alignment horizontal="left" vertical="center" wrapText="1"/>
    </xf>
    <xf numFmtId="0" fontId="11" fillId="0" borderId="8" xfId="10" applyFont="1" applyBorder="1" applyAlignment="1" applyProtection="1">
      <alignment horizontal="center" vertical="center" wrapText="1"/>
    </xf>
    <xf numFmtId="0" fontId="4" fillId="0" borderId="8" xfId="10" applyFont="1" applyBorder="1" applyAlignment="1" applyProtection="1">
      <alignment vertical="center" wrapText="1"/>
    </xf>
    <xf numFmtId="169" fontId="11" fillId="0" borderId="8" xfId="10" applyNumberFormat="1" applyFont="1" applyBorder="1" applyAlignment="1" applyProtection="1">
      <alignment horizontal="center" vertical="center" wrapText="1"/>
    </xf>
    <xf numFmtId="174" fontId="11" fillId="0" borderId="8" xfId="0" applyNumberFormat="1" applyFont="1" applyBorder="1" applyAlignment="1" applyProtection="1">
      <alignment horizontal="center" vertical="center"/>
    </xf>
    <xf numFmtId="0" fontId="3" fillId="0" borderId="8" xfId="10" applyFont="1" applyBorder="1" applyAlignment="1" applyProtection="1"/>
    <xf numFmtId="0" fontId="10" fillId="0" borderId="8" xfId="0" applyFont="1" applyBorder="1" applyAlignment="1" applyProtection="1">
      <alignment horizontal="center" vertical="center" wrapText="1"/>
    </xf>
    <xf numFmtId="175" fontId="11" fillId="0" borderId="8" xfId="0" applyNumberFormat="1" applyFont="1" applyBorder="1" applyAlignment="1" applyProtection="1">
      <alignment horizontal="center" vertical="center"/>
    </xf>
    <xf numFmtId="174" fontId="11" fillId="0" borderId="13" xfId="0" applyNumberFormat="1" applyFont="1" applyBorder="1" applyAlignment="1" applyProtection="1">
      <alignment horizontal="center" vertical="center"/>
    </xf>
    <xf numFmtId="0" fontId="4" fillId="0" borderId="24" xfId="10" applyFont="1" applyBorder="1" applyAlignment="1" applyProtection="1">
      <alignment horizontal="center" vertical="center" wrapText="1"/>
    </xf>
    <xf numFmtId="168" fontId="11" fillId="0" borderId="25" xfId="0" applyNumberFormat="1" applyFont="1" applyBorder="1" applyAlignment="1" applyProtection="1">
      <alignment horizontal="left" vertical="center" wrapText="1"/>
    </xf>
    <xf numFmtId="0" fontId="4" fillId="0" borderId="25" xfId="10" applyFont="1" applyBorder="1" applyAlignment="1" applyProtection="1">
      <alignment vertical="center" wrapText="1"/>
    </xf>
    <xf numFmtId="0" fontId="3" fillId="0" borderId="25" xfId="10" applyFont="1" applyBorder="1" applyAlignment="1" applyProtection="1"/>
    <xf numFmtId="174" fontId="11" fillId="0" borderId="25" xfId="0" applyNumberFormat="1" applyFont="1" applyBorder="1" applyAlignment="1" applyProtection="1">
      <alignment horizontal="center" vertical="center"/>
    </xf>
    <xf numFmtId="174" fontId="11" fillId="0" borderId="26" xfId="0" applyNumberFormat="1" applyFont="1" applyBorder="1" applyAlignment="1" applyProtection="1">
      <alignment horizontal="center" vertical="center"/>
    </xf>
    <xf numFmtId="0" fontId="4" fillId="0" borderId="0" xfId="10" applyFont="1" applyAlignment="1" applyProtection="1">
      <alignment horizontal="center" vertical="center" wrapText="1"/>
    </xf>
    <xf numFmtId="0" fontId="10" fillId="0" borderId="20" xfId="0" applyFont="1" applyBorder="1" applyAlignment="1" applyProtection="1">
      <alignment horizontal="left" vertical="center" wrapText="1"/>
    </xf>
    <xf numFmtId="3" fontId="11" fillId="0" borderId="10" xfId="10" applyNumberFormat="1" applyFont="1" applyBorder="1" applyAlignment="1" applyProtection="1">
      <alignment horizontal="center" vertical="center" wrapText="1"/>
    </xf>
    <xf numFmtId="164" fontId="15" fillId="0" borderId="10" xfId="10" applyNumberFormat="1" applyFont="1" applyBorder="1" applyAlignment="1" applyProtection="1">
      <alignment horizontal="center" vertical="center" wrapText="1"/>
    </xf>
    <xf numFmtId="0" fontId="11" fillId="0" borderId="9" xfId="10" applyFont="1" applyBorder="1" applyAlignment="1" applyProtection="1">
      <alignment horizontal="left" vertical="top" wrapText="1"/>
    </xf>
    <xf numFmtId="164" fontId="11" fillId="0" borderId="10" xfId="12" applyNumberFormat="1" applyFont="1" applyBorder="1" applyAlignment="1" applyProtection="1">
      <alignment horizontal="center" vertical="center" wrapText="1"/>
    </xf>
    <xf numFmtId="170" fontId="16" fillId="0" borderId="9" xfId="0" applyNumberFormat="1" applyFont="1" applyBorder="1" applyAlignment="1" applyProtection="1">
      <alignment horizontal="center" vertical="center" wrapText="1"/>
    </xf>
    <xf numFmtId="164" fontId="16" fillId="0" borderId="9" xfId="0" applyNumberFormat="1" applyFont="1" applyBorder="1" applyAlignment="1" applyProtection="1">
      <alignment horizontal="center" vertical="center" wrapText="1"/>
    </xf>
    <xf numFmtId="0" fontId="16" fillId="0" borderId="9" xfId="0" applyFont="1" applyBorder="1" applyAlignment="1" applyProtection="1">
      <alignment horizontal="left" vertical="center" wrapText="1"/>
    </xf>
    <xf numFmtId="164" fontId="5" fillId="0" borderId="0" xfId="10" applyNumberFormat="1" applyFont="1" applyAlignment="1" applyProtection="1">
      <alignment vertical="center" wrapText="1"/>
    </xf>
    <xf numFmtId="0" fontId="8" fillId="0" borderId="9" xfId="10" applyFont="1" applyBorder="1" applyAlignment="1" applyProtection="1">
      <alignment horizontal="center" vertical="center" wrapText="1"/>
    </xf>
    <xf numFmtId="0" fontId="8" fillId="0" borderId="18" xfId="10" applyFont="1" applyBorder="1" applyAlignment="1" applyProtection="1">
      <alignment horizontal="center" vertical="center" wrapText="1"/>
    </xf>
    <xf numFmtId="0" fontId="8" fillId="0" borderId="18" xfId="10" applyFont="1" applyBorder="1" applyAlignment="1" applyProtection="1">
      <alignment horizontal="left" vertical="center" wrapText="1"/>
    </xf>
    <xf numFmtId="0" fontId="9" fillId="0" borderId="8" xfId="10" applyFont="1" applyBorder="1" applyAlignment="1" applyProtection="1">
      <alignment horizontal="center" vertical="center" wrapText="1"/>
    </xf>
    <xf numFmtId="0" fontId="11" fillId="0" borderId="18" xfId="10" applyFont="1" applyBorder="1" applyAlignment="1" applyProtection="1">
      <alignment horizontal="center" vertical="top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166" fontId="11" fillId="0" borderId="9" xfId="10" applyNumberFormat="1" applyFont="1" applyBorder="1" applyAlignment="1" applyProtection="1">
      <alignment horizontal="center" vertical="center" wrapText="1"/>
    </xf>
    <xf numFmtId="166" fontId="11" fillId="0" borderId="11" xfId="10" applyNumberFormat="1" applyFont="1" applyBorder="1" applyAlignment="1" applyProtection="1">
      <alignment horizontal="center" vertical="center" wrapText="1"/>
    </xf>
    <xf numFmtId="164" fontId="11" fillId="0" borderId="10" xfId="10" applyNumberFormat="1" applyFont="1" applyBorder="1" applyAlignment="1" applyProtection="1">
      <alignment horizontal="center" vertical="center" wrapText="1"/>
    </xf>
    <xf numFmtId="166" fontId="11" fillId="0" borderId="10" xfId="10" applyNumberFormat="1" applyFont="1" applyBorder="1" applyAlignment="1" applyProtection="1">
      <alignment horizontal="center" vertical="center" wrapText="1"/>
    </xf>
    <xf numFmtId="164" fontId="11" fillId="0" borderId="9" xfId="10" applyNumberFormat="1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left" vertical="center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0" fontId="11" fillId="0" borderId="28" xfId="10" applyFont="1" applyBorder="1" applyAlignment="1" applyProtection="1">
      <alignment horizontal="center" vertical="top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166" fontId="11" fillId="0" borderId="9" xfId="10" applyNumberFormat="1" applyFont="1" applyBorder="1" applyAlignment="1" applyProtection="1">
      <alignment horizontal="center" vertical="center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0" fontId="2" fillId="0" borderId="0" xfId="10" applyFont="1" applyAlignment="1" applyProtection="1"/>
    <xf numFmtId="164" fontId="0" fillId="0" borderId="0" xfId="0" applyNumberFormat="1" applyBorder="1" applyAlignment="1" applyProtection="1"/>
    <xf numFmtId="0" fontId="8" fillId="0" borderId="8" xfId="10" applyFont="1" applyBorder="1" applyAlignment="1" applyProtection="1">
      <alignment horizontal="center" vertical="center" wrapText="1"/>
    </xf>
    <xf numFmtId="0" fontId="8" fillId="0" borderId="9" xfId="10" applyFont="1" applyBorder="1" applyAlignment="1" applyProtection="1">
      <alignment horizontal="center" vertical="center" wrapText="1"/>
    </xf>
    <xf numFmtId="0" fontId="8" fillId="0" borderId="18" xfId="10" applyFont="1" applyBorder="1" applyAlignment="1" applyProtection="1">
      <alignment horizontal="center" vertical="center" wrapText="1"/>
    </xf>
    <xf numFmtId="0" fontId="6" fillId="0" borderId="0" xfId="10" applyFont="1" applyBorder="1" applyAlignment="1" applyProtection="1">
      <alignment horizontal="center" vertical="center" wrapText="1"/>
    </xf>
    <xf numFmtId="49" fontId="8" fillId="0" borderId="1" xfId="8" applyNumberFormat="1" applyFont="1" applyBorder="1" applyAlignment="1" applyProtection="1">
      <alignment horizontal="center" vertical="center" wrapText="1"/>
    </xf>
    <xf numFmtId="49" fontId="8" fillId="0" borderId="2" xfId="8" applyNumberFormat="1" applyFont="1" applyBorder="1" applyAlignment="1" applyProtection="1">
      <alignment horizontal="center" vertical="center" wrapText="1"/>
    </xf>
    <xf numFmtId="0" fontId="8" fillId="0" borderId="3" xfId="10" applyFont="1" applyBorder="1" applyAlignment="1" applyProtection="1">
      <alignment horizontal="center" vertical="center"/>
    </xf>
    <xf numFmtId="0" fontId="9" fillId="0" borderId="3" xfId="10" applyFont="1" applyBorder="1" applyAlignment="1" applyProtection="1">
      <alignment horizontal="center" vertical="center" wrapText="1"/>
    </xf>
    <xf numFmtId="0" fontId="8" fillId="0" borderId="4" xfId="10" applyFont="1" applyBorder="1" applyAlignment="1" applyProtection="1">
      <alignment horizontal="center" vertical="center"/>
    </xf>
    <xf numFmtId="0" fontId="9" fillId="0" borderId="8" xfId="10" applyFont="1" applyBorder="1" applyAlignment="1" applyProtection="1">
      <alignment horizontal="center" vertical="center"/>
    </xf>
    <xf numFmtId="0" fontId="9" fillId="0" borderId="9" xfId="10" applyFont="1" applyBorder="1" applyAlignment="1" applyProtection="1">
      <alignment horizontal="center" vertical="center" wrapText="1"/>
    </xf>
    <xf numFmtId="0" fontId="8" fillId="0" borderId="9" xfId="10" applyFont="1" applyBorder="1" applyAlignment="1" applyProtection="1">
      <alignment horizontal="center" vertical="center"/>
    </xf>
    <xf numFmtId="0" fontId="8" fillId="0" borderId="10" xfId="10" applyFont="1" applyBorder="1" applyAlignment="1" applyProtection="1">
      <alignment horizontal="center" vertical="center"/>
    </xf>
    <xf numFmtId="0" fontId="8" fillId="0" borderId="11" xfId="10" applyFont="1" applyBorder="1" applyAlignment="1" applyProtection="1">
      <alignment horizontal="center" vertical="center"/>
    </xf>
    <xf numFmtId="0" fontId="8" fillId="0" borderId="18" xfId="10" applyFont="1" applyBorder="1" applyAlignment="1" applyProtection="1">
      <alignment horizontal="left" vertical="center" wrapText="1"/>
    </xf>
    <xf numFmtId="0" fontId="8" fillId="0" borderId="13" xfId="10" applyFont="1" applyBorder="1" applyAlignment="1" applyProtection="1">
      <alignment horizontal="center" vertical="center" wrapText="1"/>
    </xf>
    <xf numFmtId="0" fontId="8" fillId="0" borderId="17" xfId="10" applyFont="1" applyBorder="1" applyAlignment="1" applyProtection="1">
      <alignment horizontal="center" vertical="center"/>
    </xf>
    <xf numFmtId="0" fontId="8" fillId="0" borderId="27" xfId="1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left" vertical="center" wrapText="1"/>
    </xf>
    <xf numFmtId="0" fontId="8" fillId="0" borderId="12" xfId="10" applyFont="1" applyBorder="1" applyAlignment="1" applyProtection="1">
      <alignment horizontal="center" vertical="center" wrapText="1"/>
    </xf>
    <xf numFmtId="0" fontId="9" fillId="0" borderId="8" xfId="10" applyFont="1" applyBorder="1" applyAlignment="1" applyProtection="1">
      <alignment horizontal="center" vertical="center" wrapText="1"/>
    </xf>
    <xf numFmtId="0" fontId="8" fillId="0" borderId="18" xfId="10" applyFont="1" applyBorder="1" applyAlignment="1" applyProtection="1">
      <alignment vertical="center" wrapText="1"/>
    </xf>
    <xf numFmtId="0" fontId="11" fillId="0" borderId="18" xfId="10" applyFont="1" applyBorder="1" applyAlignment="1" applyProtection="1">
      <alignment horizontal="center" vertical="top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166" fontId="11" fillId="0" borderId="9" xfId="10" applyNumberFormat="1" applyFont="1" applyBorder="1" applyAlignment="1" applyProtection="1">
      <alignment horizontal="center" vertical="center" wrapText="1"/>
    </xf>
    <xf numFmtId="166" fontId="11" fillId="0" borderId="11" xfId="10" applyNumberFormat="1" applyFont="1" applyBorder="1" applyAlignment="1" applyProtection="1">
      <alignment horizontal="center" vertical="center" wrapText="1"/>
    </xf>
    <xf numFmtId="164" fontId="11" fillId="0" borderId="10" xfId="10" applyNumberFormat="1" applyFont="1" applyBorder="1" applyAlignment="1" applyProtection="1">
      <alignment horizontal="center" vertical="center" wrapText="1"/>
    </xf>
    <xf numFmtId="166" fontId="11" fillId="0" borderId="10" xfId="10" applyNumberFormat="1" applyFont="1" applyBorder="1" applyAlignment="1" applyProtection="1">
      <alignment horizontal="center" vertical="center" wrapText="1"/>
    </xf>
    <xf numFmtId="164" fontId="11" fillId="0" borderId="9" xfId="10" applyNumberFormat="1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left" vertical="center" wrapText="1"/>
    </xf>
    <xf numFmtId="0" fontId="6" fillId="0" borderId="18" xfId="11" applyFont="1" applyBorder="1" applyAlignment="1" applyProtection="1">
      <alignment horizontal="center" vertical="center" wrapText="1"/>
    </xf>
    <xf numFmtId="0" fontId="8" fillId="0" borderId="21" xfId="10" applyFont="1" applyBorder="1" applyAlignment="1" applyProtection="1">
      <alignment horizontal="center" vertical="center" wrapText="1"/>
    </xf>
  </cellXfs>
  <cellStyles count="13">
    <cellStyle name="Обычный" xfId="0" builtinId="0"/>
    <cellStyle name="Обычный 13" xfId="2"/>
    <cellStyle name="Обычный 13 2" xfId="3"/>
    <cellStyle name="Обычный 14" xfId="4"/>
    <cellStyle name="Обычный 14 2" xfId="5"/>
    <cellStyle name="Обычный 3" xfId="6"/>
    <cellStyle name="Обычный 4" xfId="7"/>
    <cellStyle name="Обычный 5" xfId="12"/>
    <cellStyle name="Обычный_3-РЕМОНТ_МОСТОВ на 2011год" xfId="8"/>
    <cellStyle name="Обычный_ВЫПОЛНЕНИЕ программы ИЖС-2010 год" xfId="11"/>
    <cellStyle name="Обычный_мероприятия (приложение 2 к 139-пп)" xfId="9"/>
    <cellStyle name="Стиль 1" xfId="1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EB78FD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D440"/>
  <sheetViews>
    <sheetView tabSelected="1" view="pageBreakPreview" zoomScale="57" zoomScaleNormal="46" zoomScalePageLayoutView="57" workbookViewId="0">
      <pane xSplit="3" ySplit="9" topLeftCell="E183" activePane="bottomRight" state="frozen"/>
      <selection pane="topRight" activeCell="D1" sqref="D1"/>
      <selection pane="bottomLeft" activeCell="A190" sqref="A190"/>
      <selection pane="bottomRight" activeCell="C190" sqref="C190"/>
    </sheetView>
  </sheetViews>
  <sheetFormatPr defaultColWidth="9.140625" defaultRowHeight="16.5"/>
  <cols>
    <col min="1" max="1" width="7.140625" style="1" customWidth="1"/>
    <col min="2" max="2" width="58.7109375" style="2" customWidth="1"/>
    <col min="3" max="3" width="12.28515625" style="2" customWidth="1"/>
    <col min="4" max="4" width="18.5703125" style="2" hidden="1" customWidth="1"/>
    <col min="5" max="5" width="13.28515625" style="2" customWidth="1"/>
    <col min="6" max="6" width="13.7109375" style="2" customWidth="1"/>
    <col min="7" max="7" width="22" style="2" customWidth="1"/>
    <col min="8" max="8" width="9.7109375" style="2" hidden="1" customWidth="1"/>
    <col min="9" max="9" width="16.140625" style="2" hidden="1" customWidth="1"/>
    <col min="10" max="10" width="16.42578125" style="2" hidden="1" customWidth="1"/>
    <col min="11" max="11" width="14.140625" style="2" hidden="1" customWidth="1"/>
    <col min="12" max="12" width="10.85546875" style="3" hidden="1" customWidth="1"/>
    <col min="13" max="13" width="16.7109375" style="3" hidden="1" customWidth="1"/>
    <col min="14" max="14" width="19" style="3" hidden="1" customWidth="1"/>
    <col min="15" max="15" width="16.5703125" style="3" hidden="1" customWidth="1"/>
    <col min="16" max="16" width="11.5703125" style="2" hidden="1" customWidth="1"/>
    <col min="17" max="17" width="17.7109375" style="2" hidden="1" customWidth="1"/>
    <col min="18" max="18" width="19.28515625" style="2" hidden="1" customWidth="1"/>
    <col min="19" max="19" width="18.28515625" style="2" hidden="1" customWidth="1"/>
    <col min="20" max="20" width="12" style="2" customWidth="1"/>
    <col min="21" max="21" width="15" style="2" customWidth="1"/>
    <col min="22" max="22" width="19" style="2" customWidth="1"/>
    <col min="23" max="23" width="16.7109375" style="2" customWidth="1"/>
    <col min="24" max="24" width="13.5703125" style="2" customWidth="1"/>
    <col min="25" max="25" width="19.28515625" style="2" customWidth="1"/>
    <col min="26" max="26" width="19" style="2" customWidth="1"/>
    <col min="27" max="27" width="18.7109375" style="2" customWidth="1"/>
    <col min="28" max="28" width="19.42578125" style="2" customWidth="1"/>
    <col min="29" max="32" width="18.42578125" style="2" customWidth="1"/>
    <col min="33" max="33" width="27" style="2" customWidth="1"/>
    <col min="34" max="34" width="14.7109375" style="2" customWidth="1"/>
    <col min="35" max="35" width="28.7109375" style="2" customWidth="1"/>
    <col min="36" max="36" width="11.140625" style="2" customWidth="1"/>
    <col min="37" max="37" width="42.28515625" style="2" customWidth="1"/>
    <col min="38" max="38" width="14.7109375" style="2" customWidth="1"/>
    <col min="39" max="47" width="9.140625" style="2"/>
    <col min="48" max="48" width="10.28515625" style="2" customWidth="1"/>
    <col min="49" max="16384" width="9.140625" style="2"/>
  </cols>
  <sheetData>
    <row r="1" spans="1:47" s="5" customFormat="1" ht="106.5" customHeight="1">
      <c r="A1" s="4"/>
      <c r="G1" s="6"/>
      <c r="H1" s="7"/>
      <c r="I1" s="7"/>
      <c r="J1" s="7"/>
      <c r="K1" s="7"/>
      <c r="M1" s="8"/>
      <c r="N1" s="8"/>
      <c r="O1" s="8"/>
      <c r="P1" s="8"/>
      <c r="R1" s="8"/>
      <c r="S1" s="8"/>
      <c r="U1" s="9"/>
      <c r="V1" s="9"/>
      <c r="W1" s="9"/>
      <c r="X1" s="187" t="s">
        <v>198</v>
      </c>
      <c r="Y1" s="187"/>
      <c r="Z1" s="187"/>
      <c r="AA1" s="187"/>
      <c r="AB1" s="187"/>
      <c r="AC1" s="187"/>
      <c r="AD1" s="187"/>
      <c r="AE1" s="187"/>
      <c r="AF1" s="10"/>
      <c r="AG1" s="11"/>
      <c r="AH1" s="11"/>
      <c r="AI1" s="11"/>
      <c r="AJ1" s="11"/>
      <c r="AK1" s="11"/>
    </row>
    <row r="2" spans="1:47" s="5" customFormat="1" ht="19.5" customHeight="1">
      <c r="A2" s="4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3"/>
      <c r="AH2" s="13"/>
    </row>
    <row r="3" spans="1:47" s="5" customFormat="1" ht="61.5" customHeight="1">
      <c r="A3" s="187" t="s">
        <v>0</v>
      </c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0"/>
      <c r="AG3" s="13"/>
      <c r="AH3" s="13"/>
    </row>
    <row r="4" spans="1:47" s="5" customFormat="1" ht="33.950000000000003" customHeight="1" thickBot="1">
      <c r="A4" s="4"/>
      <c r="AG4" s="13"/>
      <c r="AH4" s="13"/>
    </row>
    <row r="5" spans="1:47" s="5" customFormat="1" ht="34.5" customHeight="1" thickBot="1">
      <c r="A5" s="188" t="s">
        <v>1</v>
      </c>
      <c r="B5" s="189" t="s">
        <v>2</v>
      </c>
      <c r="C5" s="189" t="s">
        <v>3</v>
      </c>
      <c r="D5" s="189" t="s">
        <v>4</v>
      </c>
      <c r="E5" s="190" t="s">
        <v>5</v>
      </c>
      <c r="F5" s="190"/>
      <c r="G5" s="190"/>
      <c r="H5" s="191" t="s">
        <v>6</v>
      </c>
      <c r="I5" s="191"/>
      <c r="J5" s="191"/>
      <c r="K5" s="191"/>
      <c r="L5" s="191" t="s">
        <v>7</v>
      </c>
      <c r="M5" s="191"/>
      <c r="N5" s="191"/>
      <c r="O5" s="191"/>
      <c r="P5" s="191" t="s">
        <v>8</v>
      </c>
      <c r="Q5" s="191"/>
      <c r="R5" s="191"/>
      <c r="S5" s="191"/>
      <c r="T5" s="192" t="s">
        <v>9</v>
      </c>
      <c r="U5" s="192"/>
      <c r="V5" s="192"/>
      <c r="W5" s="192"/>
      <c r="X5" s="192"/>
      <c r="Y5" s="192"/>
      <c r="Z5" s="192"/>
      <c r="AA5" s="192"/>
      <c r="AB5" s="192"/>
      <c r="AC5" s="14"/>
      <c r="AD5" s="15"/>
      <c r="AE5" s="16"/>
      <c r="AF5" s="17"/>
      <c r="AG5" s="18"/>
      <c r="AH5" s="18"/>
      <c r="AI5" s="19"/>
      <c r="AJ5" s="19"/>
      <c r="AK5" s="19"/>
      <c r="AL5" s="19"/>
      <c r="AM5" s="19"/>
      <c r="AN5" s="19"/>
      <c r="AO5" s="19"/>
      <c r="AP5" s="19"/>
      <c r="AQ5" s="19"/>
    </row>
    <row r="6" spans="1:47" s="5" customFormat="1" ht="29.25" customHeight="1" thickBot="1">
      <c r="A6" s="188"/>
      <c r="B6" s="189"/>
      <c r="C6" s="189"/>
      <c r="D6" s="189"/>
      <c r="E6" s="190"/>
      <c r="F6" s="190"/>
      <c r="G6" s="190"/>
      <c r="H6" s="193" t="s">
        <v>10</v>
      </c>
      <c r="I6" s="194" t="s">
        <v>11</v>
      </c>
      <c r="J6" s="194"/>
      <c r="K6" s="194"/>
      <c r="L6" s="193" t="s">
        <v>10</v>
      </c>
      <c r="M6" s="194" t="s">
        <v>11</v>
      </c>
      <c r="N6" s="194"/>
      <c r="O6" s="194"/>
      <c r="P6" s="193" t="s">
        <v>10</v>
      </c>
      <c r="Q6" s="194" t="s">
        <v>11</v>
      </c>
      <c r="R6" s="194"/>
      <c r="S6" s="194"/>
      <c r="T6" s="195" t="s">
        <v>12</v>
      </c>
      <c r="U6" s="195"/>
      <c r="V6" s="195"/>
      <c r="W6" s="196" t="s">
        <v>13</v>
      </c>
      <c r="X6" s="196"/>
      <c r="Y6" s="196"/>
      <c r="Z6" s="196" t="s">
        <v>14</v>
      </c>
      <c r="AA6" s="196"/>
      <c r="AB6" s="196"/>
      <c r="AC6" s="197" t="s">
        <v>15</v>
      </c>
      <c r="AD6" s="197"/>
      <c r="AE6" s="197"/>
      <c r="AF6" s="17"/>
      <c r="AG6" s="18"/>
      <c r="AH6" s="18"/>
      <c r="AI6" s="19"/>
      <c r="AJ6" s="19"/>
      <c r="AK6" s="19"/>
      <c r="AL6" s="19"/>
      <c r="AM6" s="19"/>
      <c r="AN6" s="19"/>
      <c r="AO6" s="19"/>
      <c r="AP6" s="19"/>
      <c r="AQ6" s="19"/>
    </row>
    <row r="7" spans="1:47" s="5" customFormat="1" ht="33.75" customHeight="1" thickBot="1">
      <c r="A7" s="188"/>
      <c r="B7" s="189"/>
      <c r="C7" s="189"/>
      <c r="D7" s="189"/>
      <c r="E7" s="195" t="s">
        <v>16</v>
      </c>
      <c r="F7" s="195"/>
      <c r="G7" s="184" t="s">
        <v>11</v>
      </c>
      <c r="H7" s="193"/>
      <c r="I7" s="204" t="s">
        <v>17</v>
      </c>
      <c r="J7" s="194" t="s">
        <v>18</v>
      </c>
      <c r="K7" s="194"/>
      <c r="L7" s="193"/>
      <c r="M7" s="204" t="s">
        <v>17</v>
      </c>
      <c r="N7" s="194" t="s">
        <v>18</v>
      </c>
      <c r="O7" s="194"/>
      <c r="P7" s="193"/>
      <c r="Q7" s="204" t="s">
        <v>17</v>
      </c>
      <c r="R7" s="194" t="s">
        <v>18</v>
      </c>
      <c r="S7" s="194"/>
      <c r="T7" s="195" t="s">
        <v>16</v>
      </c>
      <c r="U7" s="195"/>
      <c r="V7" s="184" t="s">
        <v>11</v>
      </c>
      <c r="W7" s="195" t="s">
        <v>16</v>
      </c>
      <c r="X7" s="195"/>
      <c r="Y7" s="203" t="s">
        <v>11</v>
      </c>
      <c r="Z7" s="195" t="s">
        <v>16</v>
      </c>
      <c r="AA7" s="195"/>
      <c r="AB7" s="203" t="s">
        <v>11</v>
      </c>
      <c r="AC7" s="195" t="s">
        <v>16</v>
      </c>
      <c r="AD7" s="195"/>
      <c r="AE7" s="199" t="s">
        <v>11</v>
      </c>
      <c r="AF7" s="20"/>
      <c r="AG7" s="18"/>
      <c r="AH7" s="18"/>
      <c r="AI7" s="19"/>
      <c r="AJ7" s="19"/>
      <c r="AK7" s="19"/>
      <c r="AL7" s="19"/>
      <c r="AM7" s="19"/>
      <c r="AN7" s="19"/>
      <c r="AO7" s="19"/>
      <c r="AP7" s="19"/>
      <c r="AQ7" s="19"/>
    </row>
    <row r="8" spans="1:47" s="5" customFormat="1" ht="43.5" customHeight="1" thickBot="1">
      <c r="A8" s="188"/>
      <c r="B8" s="189"/>
      <c r="C8" s="189"/>
      <c r="D8" s="189"/>
      <c r="E8" s="21" t="s">
        <v>10</v>
      </c>
      <c r="F8" s="21" t="s">
        <v>19</v>
      </c>
      <c r="G8" s="184"/>
      <c r="H8" s="193"/>
      <c r="I8" s="204"/>
      <c r="J8" s="168" t="s">
        <v>20</v>
      </c>
      <c r="K8" s="168" t="s">
        <v>21</v>
      </c>
      <c r="L8" s="193"/>
      <c r="M8" s="204"/>
      <c r="N8" s="168" t="s">
        <v>20</v>
      </c>
      <c r="O8" s="168" t="s">
        <v>21</v>
      </c>
      <c r="P8" s="193"/>
      <c r="Q8" s="204"/>
      <c r="R8" s="168" t="s">
        <v>20</v>
      </c>
      <c r="S8" s="168" t="s">
        <v>22</v>
      </c>
      <c r="T8" s="21" t="s">
        <v>10</v>
      </c>
      <c r="U8" s="21" t="s">
        <v>19</v>
      </c>
      <c r="V8" s="184"/>
      <c r="W8" s="21" t="s">
        <v>10</v>
      </c>
      <c r="X8" s="21" t="s">
        <v>19</v>
      </c>
      <c r="Y8" s="203"/>
      <c r="Z8" s="21" t="s">
        <v>10</v>
      </c>
      <c r="AA8" s="21" t="s">
        <v>19</v>
      </c>
      <c r="AB8" s="203"/>
      <c r="AC8" s="21" t="s">
        <v>10</v>
      </c>
      <c r="AD8" s="21" t="s">
        <v>19</v>
      </c>
      <c r="AE8" s="199"/>
      <c r="AF8" s="20"/>
      <c r="AG8" s="22"/>
      <c r="AH8" s="18"/>
      <c r="AI8" s="19"/>
      <c r="AJ8" s="19"/>
      <c r="AK8" s="19"/>
      <c r="AL8" s="19"/>
      <c r="AM8" s="19"/>
      <c r="AN8" s="19"/>
      <c r="AO8" s="19"/>
      <c r="AP8" s="19"/>
      <c r="AQ8" s="19"/>
    </row>
    <row r="9" spans="1:47" s="5" customFormat="1" ht="32.25" customHeight="1" thickBot="1">
      <c r="A9" s="23">
        <v>1</v>
      </c>
      <c r="B9" s="24">
        <v>2</v>
      </c>
      <c r="C9" s="24">
        <v>3</v>
      </c>
      <c r="D9" s="25"/>
      <c r="E9" s="24">
        <v>4</v>
      </c>
      <c r="F9" s="24">
        <v>5</v>
      </c>
      <c r="G9" s="24">
        <v>6</v>
      </c>
      <c r="H9" s="24">
        <v>7</v>
      </c>
      <c r="I9" s="24"/>
      <c r="J9" s="24"/>
      <c r="K9" s="24"/>
      <c r="L9" s="24"/>
      <c r="M9" s="24"/>
      <c r="N9" s="24"/>
      <c r="O9" s="24"/>
      <c r="P9" s="24"/>
      <c r="Q9" s="24">
        <v>6</v>
      </c>
      <c r="R9" s="24">
        <v>7</v>
      </c>
      <c r="S9" s="24">
        <v>8</v>
      </c>
      <c r="T9" s="24">
        <v>7</v>
      </c>
      <c r="U9" s="24">
        <v>8</v>
      </c>
      <c r="V9" s="24">
        <v>9</v>
      </c>
      <c r="W9" s="24">
        <v>10</v>
      </c>
      <c r="X9" s="24">
        <v>11</v>
      </c>
      <c r="Y9" s="26">
        <v>12</v>
      </c>
      <c r="Z9" s="24">
        <v>13</v>
      </c>
      <c r="AA9" s="24">
        <v>14</v>
      </c>
      <c r="AB9" s="26">
        <v>15</v>
      </c>
      <c r="AC9" s="24">
        <v>16</v>
      </c>
      <c r="AD9" s="24">
        <v>17</v>
      </c>
      <c r="AE9" s="27">
        <v>18</v>
      </c>
      <c r="AF9" s="17"/>
      <c r="AG9" s="22"/>
      <c r="AH9" s="18"/>
      <c r="AI9" s="19"/>
      <c r="AJ9" s="19"/>
      <c r="AK9" s="19"/>
      <c r="AL9" s="19"/>
      <c r="AM9" s="19"/>
      <c r="AN9" s="19"/>
      <c r="AO9" s="19" t="s">
        <v>23</v>
      </c>
      <c r="AP9" s="19"/>
      <c r="AQ9" s="19"/>
    </row>
    <row r="10" spans="1:47" s="5" customFormat="1" ht="40.5" customHeight="1">
      <c r="A10" s="200" t="s">
        <v>24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0"/>
      <c r="Y10" s="200"/>
      <c r="Z10" s="200"/>
      <c r="AA10" s="200"/>
      <c r="AB10" s="200"/>
      <c r="AC10" s="200"/>
      <c r="AD10" s="200"/>
      <c r="AE10" s="201"/>
      <c r="AF10" s="17"/>
      <c r="AG10" s="22"/>
      <c r="AH10" s="18"/>
      <c r="AI10" s="28">
        <f>V12+Y12+AB12</f>
        <v>4512834.4192887917</v>
      </c>
      <c r="AJ10" s="19"/>
      <c r="AK10" s="19"/>
      <c r="AL10" s="19"/>
      <c r="AM10" s="19"/>
      <c r="AN10" s="19"/>
      <c r="AO10" s="19"/>
      <c r="AP10" s="19"/>
      <c r="AQ10" s="19"/>
    </row>
    <row r="11" spans="1:47" s="5" customFormat="1" ht="33.75" customHeight="1">
      <c r="A11" s="29" t="s">
        <v>25</v>
      </c>
      <c r="B11" s="202" t="s">
        <v>26</v>
      </c>
      <c r="C11" s="202"/>
      <c r="D11" s="202"/>
      <c r="E11" s="202"/>
      <c r="F11" s="202"/>
      <c r="G11" s="202"/>
      <c r="H11" s="202"/>
      <c r="I11" s="202"/>
      <c r="J11" s="202"/>
      <c r="K11" s="202"/>
      <c r="L11" s="202"/>
      <c r="M11" s="202"/>
      <c r="N11" s="202"/>
      <c r="O11" s="202"/>
      <c r="P11" s="202"/>
      <c r="Q11" s="202"/>
      <c r="R11" s="202"/>
      <c r="S11" s="202"/>
      <c r="T11" s="202"/>
      <c r="U11" s="202"/>
      <c r="V11" s="202"/>
      <c r="W11" s="202"/>
      <c r="X11" s="202"/>
      <c r="Y11" s="202"/>
      <c r="Z11" s="202"/>
      <c r="AA11" s="202"/>
      <c r="AB11" s="202"/>
      <c r="AC11" s="202"/>
      <c r="AD11" s="202"/>
      <c r="AE11" s="202"/>
      <c r="AF11" s="30"/>
      <c r="AG11" s="183">
        <f>T12+W12+Z12+AC12</f>
        <v>223.68861499999997</v>
      </c>
      <c r="AH11" s="18"/>
      <c r="AI11" s="19"/>
      <c r="AJ11" s="19"/>
      <c r="AK11" s="28">
        <f>T12+W12+Z12</f>
        <v>153.483</v>
      </c>
      <c r="AL11" s="19"/>
      <c r="AM11" s="19"/>
      <c r="AN11" s="19"/>
      <c r="AO11" s="19"/>
      <c r="AP11" s="19"/>
      <c r="AQ11" s="19"/>
    </row>
    <row r="12" spans="1:47" s="42" customFormat="1" ht="49.5" customHeight="1">
      <c r="A12" s="31"/>
      <c r="B12" s="32" t="s">
        <v>27</v>
      </c>
      <c r="C12" s="33"/>
      <c r="D12" s="33"/>
      <c r="E12" s="34">
        <f>T12+W12+Z12+AC12</f>
        <v>223.68861499999997</v>
      </c>
      <c r="F12" s="34"/>
      <c r="G12" s="34">
        <f>V12+Y12+AB12+AE12</f>
        <v>7317059.0192887913</v>
      </c>
      <c r="H12" s="34" t="e">
        <f>H17+H27+H31+H39+H46+H51+H56+H63+H67+H72+H75+H78+H82+H87+H90+H93+H101+H111+H117+H124+H127</f>
        <v>#REF!</v>
      </c>
      <c r="I12" s="35" t="e">
        <f>I17+I27+I31+I39+I46+I51+I56+I63+I67+I72+I75+I78+I82+I87+I90+I93+I101+I111+I117+I124+I127</f>
        <v>#REF!</v>
      </c>
      <c r="J12" s="35" t="e">
        <f>J17+J27+J31+J39+J46+J51+J56+J63+J67+J72+J75+J78+J82+J87+J90+J93+J101+J111+J117+J124+J127</f>
        <v>#REF!</v>
      </c>
      <c r="K12" s="33"/>
      <c r="L12" s="34" t="e">
        <f t="shared" ref="L12:T12" si="0">L17+L27+L31+L39+L46+L51+L56+L63+L67+L72+L75+L78+L82+L87+L90+L93+L101+L111+L117+L124+L127+L128</f>
        <v>#REF!</v>
      </c>
      <c r="M12" s="35" t="e">
        <f t="shared" si="0"/>
        <v>#REF!</v>
      </c>
      <c r="N12" s="35" t="e">
        <f t="shared" si="0"/>
        <v>#REF!</v>
      </c>
      <c r="O12" s="35" t="e">
        <f t="shared" si="0"/>
        <v>#REF!</v>
      </c>
      <c r="P12" s="34" t="e">
        <f t="shared" si="0"/>
        <v>#REF!</v>
      </c>
      <c r="Q12" s="34" t="e">
        <f t="shared" si="0"/>
        <v>#REF!</v>
      </c>
      <c r="R12" s="34" t="e">
        <f t="shared" si="0"/>
        <v>#REF!</v>
      </c>
      <c r="S12" s="34" t="e">
        <f t="shared" si="0"/>
        <v>#REF!</v>
      </c>
      <c r="T12" s="34">
        <f t="shared" si="0"/>
        <v>56.08</v>
      </c>
      <c r="U12" s="34"/>
      <c r="V12" s="34">
        <f>V17+V27+V31+V39+V46+V51+V56+V63+V67+V72+V75+V78+V82+V87+V90+V93+V101+V111+V117+V124+V127+V128</f>
        <v>813458.24238999991</v>
      </c>
      <c r="W12" s="34">
        <f>W17+W27+W31+W39+W46+W51+W56+W63+W67+W72+W75+W78+W82+W87+W90+W93+W101+W111+W117+W124+W127+W128-W111</f>
        <v>54.45000000000001</v>
      </c>
      <c r="X12" s="34"/>
      <c r="Y12" s="36">
        <f>Y17+Y27+Y31+Y39+Y46+Y51+Y56+Y63+Y67+Y72+Y75+Y78+Y82+Y87+Y90+Y93+Y101+Y111+Y117+Y124+Y127+Y128</f>
        <v>2042455.876896</v>
      </c>
      <c r="Z12" s="34">
        <f>Z17+Z27+Z31+Z39+Z46+Z51+Z56+Z63+Z67+Z72+Z75+Z78+Z82+Z87+Z90+Z93+Z101+Z111+Z117+Z124+Z127+Z128</f>
        <v>42.953000000000003</v>
      </c>
      <c r="AA12" s="34"/>
      <c r="AB12" s="36">
        <f>AB17+AB27+AB31+AB39+AB46+AB51+AB56+AB63+AB67+AB72+AB75+AB78+AB82+AB87+AB90+AB93+AB101+AB111+AB117+AB124+AB127+AB128</f>
        <v>1656920.3000027922</v>
      </c>
      <c r="AC12" s="34">
        <f>AE12/40000+0.1</f>
        <v>70.20561499999998</v>
      </c>
      <c r="AD12" s="34"/>
      <c r="AE12" s="37">
        <v>2804224.5999999996</v>
      </c>
      <c r="AF12" s="38"/>
      <c r="AG12" s="39">
        <v>121.8</v>
      </c>
      <c r="AH12" s="34"/>
      <c r="AI12" s="37">
        <v>3059040</v>
      </c>
      <c r="AJ12" s="40">
        <f>T12+W12+Z12</f>
        <v>153.483</v>
      </c>
      <c r="AK12" s="41">
        <f>V12+Y12+AB12</f>
        <v>4512834.4192887917</v>
      </c>
    </row>
    <row r="13" spans="1:47" s="42" customFormat="1" ht="26.25" customHeight="1">
      <c r="A13" s="186" t="s">
        <v>28</v>
      </c>
      <c r="B13" s="186"/>
      <c r="C13" s="185"/>
      <c r="D13" s="185"/>
      <c r="E13" s="185"/>
      <c r="F13" s="165"/>
      <c r="G13" s="34"/>
      <c r="H13" s="43"/>
      <c r="I13" s="44"/>
      <c r="J13" s="43"/>
      <c r="K13" s="43"/>
      <c r="L13" s="43"/>
      <c r="M13" s="43"/>
      <c r="N13" s="43"/>
      <c r="O13" s="43"/>
      <c r="P13" s="45"/>
      <c r="Q13" s="43"/>
      <c r="R13" s="43"/>
      <c r="S13" s="43"/>
      <c r="T13" s="43"/>
      <c r="U13" s="45"/>
      <c r="V13" s="45"/>
      <c r="W13" s="45"/>
      <c r="X13" s="43"/>
      <c r="Y13" s="46">
        <v>34185.22</v>
      </c>
      <c r="Z13" s="175"/>
      <c r="AA13" s="45"/>
      <c r="AB13" s="173"/>
      <c r="AC13" s="175"/>
      <c r="AD13" s="175"/>
      <c r="AE13" s="47"/>
      <c r="AF13" s="48"/>
      <c r="AG13" s="49">
        <f>AG12-Z12</f>
        <v>78.846999999999994</v>
      </c>
      <c r="AH13" s="13"/>
      <c r="AI13" s="50">
        <f>AI12-AB12</f>
        <v>1402119.6999972078</v>
      </c>
      <c r="AJ13" s="41">
        <f>AJ17+AJ27+AJ31+AJ39+AJ46+AJ51+AJ56+AJ63+AJ67+AJ75+AJ87+AJ90+AJ93+AJ101+AJ111+AJ117+AJ124+AJ127+AJ128</f>
        <v>159.49800000000002</v>
      </c>
      <c r="AK13" s="41">
        <f>SUM(AK15:AK114)</f>
        <v>845256.60312999994</v>
      </c>
    </row>
    <row r="14" spans="1:47" s="42" customFormat="1" ht="69.75" customHeight="1">
      <c r="A14" s="169">
        <v>1</v>
      </c>
      <c r="B14" s="51" t="s">
        <v>29</v>
      </c>
      <c r="C14" s="52" t="s">
        <v>30</v>
      </c>
      <c r="D14" s="52"/>
      <c r="E14" s="171">
        <f>(0.14-0.02)+(5.4-0.31)</f>
        <v>5.2100000000000009</v>
      </c>
      <c r="F14" s="171"/>
      <c r="G14" s="175">
        <v>143258.97261999999</v>
      </c>
      <c r="H14" s="53"/>
      <c r="I14" s="35"/>
      <c r="J14" s="35"/>
      <c r="K14" s="35"/>
      <c r="L14" s="53"/>
      <c r="M14" s="54"/>
      <c r="N14" s="55"/>
      <c r="O14" s="55"/>
      <c r="P14" s="171"/>
      <c r="Q14" s="55"/>
      <c r="R14" s="56"/>
      <c r="S14" s="55"/>
      <c r="T14" s="171">
        <f>E14</f>
        <v>5.2100000000000009</v>
      </c>
      <c r="U14" s="175"/>
      <c r="V14" s="175">
        <f>G14</f>
        <v>143258.97261999999</v>
      </c>
      <c r="W14" s="175"/>
      <c r="X14" s="171"/>
      <c r="Y14" s="173"/>
      <c r="Z14" s="34"/>
      <c r="AA14" s="175"/>
      <c r="AB14" s="173"/>
      <c r="AC14" s="175"/>
      <c r="AD14" s="175"/>
      <c r="AE14" s="47"/>
      <c r="AF14" s="48"/>
      <c r="AG14" s="57"/>
      <c r="AH14" s="13"/>
      <c r="AU14" s="42" t="s">
        <v>31</v>
      </c>
    </row>
    <row r="15" spans="1:47" s="42" customFormat="1" ht="46.5" customHeight="1">
      <c r="A15" s="169">
        <v>2</v>
      </c>
      <c r="B15" s="51" t="s">
        <v>32</v>
      </c>
      <c r="C15" s="52" t="s">
        <v>33</v>
      </c>
      <c r="D15" s="52"/>
      <c r="E15" s="171">
        <v>7.069</v>
      </c>
      <c r="F15" s="171"/>
      <c r="G15" s="175">
        <v>348089.52448999998</v>
      </c>
      <c r="H15" s="53"/>
      <c r="I15" s="35"/>
      <c r="J15" s="35"/>
      <c r="K15" s="35"/>
      <c r="L15" s="53"/>
      <c r="M15" s="54"/>
      <c r="N15" s="55"/>
      <c r="O15" s="55"/>
      <c r="P15" s="171"/>
      <c r="Q15" s="55"/>
      <c r="R15" s="56"/>
      <c r="S15" s="55"/>
      <c r="T15" s="171"/>
      <c r="U15" s="175"/>
      <c r="V15" s="175"/>
      <c r="W15" s="171"/>
      <c r="X15" s="171"/>
      <c r="Y15" s="173"/>
      <c r="Z15" s="171"/>
      <c r="AA15" s="175"/>
      <c r="AB15" s="173">
        <v>200000</v>
      </c>
      <c r="AC15" s="171">
        <f>E15</f>
        <v>7.069</v>
      </c>
      <c r="AD15" s="175"/>
      <c r="AE15" s="47">
        <f>G15-AB15</f>
        <v>148089.52448999998</v>
      </c>
      <c r="AF15" s="48"/>
      <c r="AG15" s="57">
        <f>AB12/Z12</f>
        <v>38575.193816562103</v>
      </c>
      <c r="AH15" s="13"/>
      <c r="AO15" s="42" t="s">
        <v>34</v>
      </c>
    </row>
    <row r="16" spans="1:47" s="42" customFormat="1" ht="45.75" hidden="1" customHeight="1">
      <c r="A16" s="58">
        <v>4</v>
      </c>
      <c r="B16" s="51" t="s">
        <v>35</v>
      </c>
      <c r="C16" s="52" t="s">
        <v>30</v>
      </c>
      <c r="D16" s="52"/>
      <c r="E16" s="171"/>
      <c r="F16" s="171"/>
      <c r="G16" s="175"/>
      <c r="H16" s="53"/>
      <c r="I16" s="35"/>
      <c r="J16" s="35"/>
      <c r="K16" s="35"/>
      <c r="L16" s="53"/>
      <c r="M16" s="54"/>
      <c r="N16" s="55"/>
      <c r="O16" s="55"/>
      <c r="P16" s="171"/>
      <c r="Q16" s="55"/>
      <c r="R16" s="56"/>
      <c r="S16" s="55"/>
      <c r="T16" s="171"/>
      <c r="U16" s="175"/>
      <c r="V16" s="175"/>
      <c r="W16" s="175"/>
      <c r="X16" s="171"/>
      <c r="Y16" s="173"/>
      <c r="Z16" s="34"/>
      <c r="AA16" s="175"/>
      <c r="AB16" s="173"/>
      <c r="AC16" s="175"/>
      <c r="AD16" s="175"/>
      <c r="AE16" s="47"/>
      <c r="AF16" s="48"/>
      <c r="AG16" s="57"/>
      <c r="AH16" s="13"/>
    </row>
    <row r="17" spans="1:46" s="42" customFormat="1" ht="30.75" customHeight="1">
      <c r="A17" s="198" t="s">
        <v>36</v>
      </c>
      <c r="B17" s="198"/>
      <c r="C17" s="198"/>
      <c r="D17" s="59"/>
      <c r="E17" s="60">
        <f>SUM(E14:E16)</f>
        <v>12.279</v>
      </c>
      <c r="F17" s="60"/>
      <c r="G17" s="34">
        <f>SUM(G14:G16)</f>
        <v>491348.49711</v>
      </c>
      <c r="H17" s="60"/>
      <c r="I17" s="35"/>
      <c r="J17" s="35"/>
      <c r="K17" s="35"/>
      <c r="L17" s="60" t="e">
        <f>SUM(#REF!)</f>
        <v>#REF!</v>
      </c>
      <c r="M17" s="35" t="e">
        <f>SUM(#REF!)</f>
        <v>#REF!</v>
      </c>
      <c r="N17" s="35" t="e">
        <f>SUM(#REF!)</f>
        <v>#REF!</v>
      </c>
      <c r="O17" s="35" t="e">
        <f>SUM(#REF!)</f>
        <v>#REF!</v>
      </c>
      <c r="P17" s="60">
        <f>SUM(P14:P16)</f>
        <v>0</v>
      </c>
      <c r="Q17" s="34">
        <f>SUM(Q14:Q16)</f>
        <v>0</v>
      </c>
      <c r="R17" s="34">
        <f>SUM(R14:R16)</f>
        <v>0</v>
      </c>
      <c r="S17" s="35">
        <f>SUM(S14:S16)</f>
        <v>0</v>
      </c>
      <c r="T17" s="60">
        <f>SUM(T14:T16)</f>
        <v>5.2100000000000009</v>
      </c>
      <c r="U17" s="34"/>
      <c r="V17" s="34">
        <f>SUM(V14:V16)</f>
        <v>143258.97261999999</v>
      </c>
      <c r="W17" s="34"/>
      <c r="X17" s="34"/>
      <c r="Y17" s="36"/>
      <c r="Z17" s="34">
        <f>SUM(Z14:Z16)</f>
        <v>0</v>
      </c>
      <c r="AA17" s="34"/>
      <c r="AB17" s="61">
        <f>SUM(AB14:AB16)</f>
        <v>200000</v>
      </c>
      <c r="AC17" s="34"/>
      <c r="AD17" s="34"/>
      <c r="AE17" s="62"/>
      <c r="AF17" s="63"/>
      <c r="AG17" s="13"/>
      <c r="AH17" s="13"/>
      <c r="AJ17" s="40">
        <f>T17+W17+Z17</f>
        <v>5.2100000000000009</v>
      </c>
      <c r="AP17" s="42" t="s">
        <v>23</v>
      </c>
    </row>
    <row r="18" spans="1:46" s="42" customFormat="1" ht="31.5" customHeight="1">
      <c r="A18" s="186" t="s">
        <v>37</v>
      </c>
      <c r="B18" s="186"/>
      <c r="C18" s="185"/>
      <c r="D18" s="185"/>
      <c r="E18" s="185"/>
      <c r="F18" s="165"/>
      <c r="G18" s="34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175"/>
      <c r="V18" s="175"/>
      <c r="W18" s="175"/>
      <c r="X18" s="52"/>
      <c r="Y18" s="173"/>
      <c r="Z18" s="34"/>
      <c r="AA18" s="175"/>
      <c r="AB18" s="173"/>
      <c r="AC18" s="175"/>
      <c r="AD18" s="175"/>
      <c r="AE18" s="47"/>
      <c r="AF18" s="48"/>
      <c r="AG18" s="13" t="s">
        <v>31</v>
      </c>
      <c r="AH18" s="13"/>
      <c r="AT18" s="42" t="s">
        <v>23</v>
      </c>
    </row>
    <row r="19" spans="1:46" s="42" customFormat="1" ht="45.75" customHeight="1">
      <c r="A19" s="169">
        <v>3</v>
      </c>
      <c r="B19" s="51" t="s">
        <v>38</v>
      </c>
      <c r="C19" s="52" t="s">
        <v>30</v>
      </c>
      <c r="D19" s="52"/>
      <c r="E19" s="64">
        <f>10.75-6.51</f>
        <v>4.24</v>
      </c>
      <c r="F19" s="64"/>
      <c r="G19" s="65">
        <v>105206.25606</v>
      </c>
      <c r="H19" s="66"/>
      <c r="I19" s="55"/>
      <c r="J19" s="55"/>
      <c r="K19" s="55"/>
      <c r="L19" s="171"/>
      <c r="M19" s="55"/>
      <c r="N19" s="55"/>
      <c r="O19" s="55"/>
      <c r="P19" s="55"/>
      <c r="Q19" s="55"/>
      <c r="R19" s="55"/>
      <c r="S19" s="55"/>
      <c r="T19" s="55"/>
      <c r="U19" s="175"/>
      <c r="V19" s="175"/>
      <c r="W19" s="171">
        <f>E19</f>
        <v>4.24</v>
      </c>
      <c r="X19" s="55"/>
      <c r="Y19" s="173">
        <f>G19</f>
        <v>105206.25606</v>
      </c>
      <c r="Z19" s="34"/>
      <c r="AA19" s="175"/>
      <c r="AB19" s="173"/>
      <c r="AC19" s="175"/>
      <c r="AD19" s="175"/>
      <c r="AE19" s="47"/>
      <c r="AF19" s="48"/>
      <c r="AG19" s="13"/>
      <c r="AH19" s="13"/>
      <c r="AI19" s="42" t="s">
        <v>31</v>
      </c>
    </row>
    <row r="20" spans="1:46" s="42" customFormat="1" ht="42.75" customHeight="1">
      <c r="A20" s="169">
        <v>4</v>
      </c>
      <c r="B20" s="51" t="s">
        <v>39</v>
      </c>
      <c r="C20" s="52" t="s">
        <v>30</v>
      </c>
      <c r="D20" s="52"/>
      <c r="E20" s="171">
        <f>13.8-10.75</f>
        <v>3.0500000000000007</v>
      </c>
      <c r="F20" s="64"/>
      <c r="G20" s="65">
        <f>76967.85*1.2*1.078*1.053+457.41187</f>
        <v>105300.00000028001</v>
      </c>
      <c r="H20" s="66"/>
      <c r="I20" s="55"/>
      <c r="J20" s="55"/>
      <c r="K20" s="55"/>
      <c r="L20" s="171"/>
      <c r="M20" s="55"/>
      <c r="N20" s="55"/>
      <c r="O20" s="55"/>
      <c r="P20" s="171"/>
      <c r="Q20" s="55"/>
      <c r="R20" s="55"/>
      <c r="S20" s="55"/>
      <c r="T20" s="171"/>
      <c r="U20" s="175"/>
      <c r="V20" s="175"/>
      <c r="W20" s="171"/>
      <c r="X20" s="171"/>
      <c r="Y20" s="173"/>
      <c r="Z20" s="171">
        <f>E20</f>
        <v>3.0500000000000007</v>
      </c>
      <c r="AA20" s="175"/>
      <c r="AB20" s="173">
        <f>G20</f>
        <v>105300.00000028001</v>
      </c>
      <c r="AC20" s="171"/>
      <c r="AD20" s="175"/>
      <c r="AE20" s="47"/>
      <c r="AF20" s="48"/>
      <c r="AG20" s="13"/>
      <c r="AH20" s="13"/>
      <c r="AP20" s="42" t="s">
        <v>40</v>
      </c>
    </row>
    <row r="21" spans="1:46" s="42" customFormat="1" ht="48.75" hidden="1" customHeight="1">
      <c r="A21" s="169"/>
      <c r="B21" s="51" t="s">
        <v>41</v>
      </c>
      <c r="C21" s="52" t="s">
        <v>42</v>
      </c>
      <c r="D21" s="52"/>
      <c r="E21" s="64"/>
      <c r="F21" s="64"/>
      <c r="G21" s="175"/>
      <c r="H21" s="66"/>
      <c r="I21" s="55"/>
      <c r="J21" s="55"/>
      <c r="K21" s="55"/>
      <c r="L21" s="171"/>
      <c r="M21" s="55"/>
      <c r="N21" s="55"/>
      <c r="O21" s="55"/>
      <c r="P21" s="171"/>
      <c r="Q21" s="55"/>
      <c r="R21" s="55"/>
      <c r="S21" s="55"/>
      <c r="T21" s="171"/>
      <c r="U21" s="175"/>
      <c r="V21" s="175"/>
      <c r="W21" s="175">
        <f>E21</f>
        <v>0</v>
      </c>
      <c r="X21" s="171"/>
      <c r="Y21" s="173"/>
      <c r="Z21" s="34"/>
      <c r="AA21" s="175" t="s">
        <v>31</v>
      </c>
      <c r="AB21" s="173"/>
      <c r="AC21" s="175"/>
      <c r="AD21" s="175"/>
      <c r="AE21" s="47"/>
      <c r="AF21" s="48"/>
      <c r="AG21" s="13"/>
      <c r="AH21" s="13"/>
    </row>
    <row r="22" spans="1:46" s="42" customFormat="1" ht="65.45" hidden="1" customHeight="1">
      <c r="A22" s="169">
        <v>5</v>
      </c>
      <c r="B22" s="51" t="s">
        <v>43</v>
      </c>
      <c r="C22" s="52"/>
      <c r="D22" s="52"/>
      <c r="E22" s="64"/>
      <c r="F22" s="64"/>
      <c r="G22" s="65"/>
      <c r="H22" s="66"/>
      <c r="I22" s="55"/>
      <c r="J22" s="55"/>
      <c r="K22" s="55"/>
      <c r="L22" s="171"/>
      <c r="M22" s="55"/>
      <c r="N22" s="55"/>
      <c r="O22" s="55"/>
      <c r="P22" s="171"/>
      <c r="Q22" s="55"/>
      <c r="R22" s="55"/>
      <c r="S22" s="55"/>
      <c r="T22" s="171"/>
      <c r="U22" s="175"/>
      <c r="V22" s="175"/>
      <c r="W22" s="171"/>
      <c r="X22" s="171"/>
      <c r="Y22" s="173"/>
      <c r="Z22" s="171"/>
      <c r="AA22" s="175"/>
      <c r="AB22" s="173"/>
      <c r="AC22" s="175"/>
      <c r="AD22" s="175"/>
      <c r="AE22" s="47"/>
      <c r="AF22" s="48"/>
      <c r="AG22" s="13" t="s">
        <v>40</v>
      </c>
      <c r="AH22" s="13"/>
      <c r="AI22" s="42" t="s">
        <v>40</v>
      </c>
      <c r="AO22" s="42" t="s">
        <v>40</v>
      </c>
    </row>
    <row r="23" spans="1:46" s="42" customFormat="1" ht="43.5" hidden="1" customHeight="1">
      <c r="A23" s="169"/>
      <c r="B23" s="51" t="s">
        <v>44</v>
      </c>
      <c r="C23" s="52" t="s">
        <v>30</v>
      </c>
      <c r="D23" s="52"/>
      <c r="E23" s="67"/>
      <c r="F23" s="68"/>
      <c r="G23" s="64"/>
      <c r="H23" s="66"/>
      <c r="I23" s="55"/>
      <c r="J23" s="55"/>
      <c r="K23" s="55"/>
      <c r="L23" s="171"/>
      <c r="M23" s="55"/>
      <c r="N23" s="55"/>
      <c r="O23" s="55"/>
      <c r="P23" s="171"/>
      <c r="Q23" s="55"/>
      <c r="R23" s="55"/>
      <c r="S23" s="55"/>
      <c r="T23" s="171"/>
      <c r="U23" s="175"/>
      <c r="V23" s="175"/>
      <c r="W23" s="175">
        <f>E23</f>
        <v>0</v>
      </c>
      <c r="X23" s="171"/>
      <c r="Y23" s="173">
        <f>G23</f>
        <v>0</v>
      </c>
      <c r="Z23" s="34"/>
      <c r="AA23" s="175"/>
      <c r="AB23" s="173"/>
      <c r="AC23" s="175"/>
      <c r="AD23" s="175"/>
      <c r="AE23" s="47"/>
      <c r="AF23" s="48"/>
      <c r="AG23" s="13"/>
      <c r="AH23" s="13"/>
    </row>
    <row r="24" spans="1:46" s="42" customFormat="1" ht="86.25" customHeight="1">
      <c r="A24" s="169">
        <v>5</v>
      </c>
      <c r="B24" s="51" t="s">
        <v>45</v>
      </c>
      <c r="C24" s="52" t="s">
        <v>42</v>
      </c>
      <c r="D24" s="52"/>
      <c r="E24" s="64"/>
      <c r="F24" s="68"/>
      <c r="G24" s="65">
        <v>2263.00686</v>
      </c>
      <c r="H24" s="66"/>
      <c r="I24" s="55"/>
      <c r="J24" s="55"/>
      <c r="K24" s="55"/>
      <c r="L24" s="171"/>
      <c r="M24" s="55"/>
      <c r="N24" s="55"/>
      <c r="O24" s="55"/>
      <c r="P24" s="171"/>
      <c r="Q24" s="55"/>
      <c r="R24" s="55"/>
      <c r="S24" s="55"/>
      <c r="T24" s="171"/>
      <c r="U24" s="175"/>
      <c r="V24" s="175"/>
      <c r="W24" s="171"/>
      <c r="X24" s="171"/>
      <c r="Y24" s="173">
        <f>G24</f>
        <v>2263.00686</v>
      </c>
      <c r="Z24" s="34"/>
      <c r="AA24" s="175"/>
      <c r="AB24" s="173"/>
      <c r="AC24" s="175"/>
      <c r="AD24" s="175"/>
      <c r="AE24" s="47"/>
      <c r="AF24" s="48"/>
      <c r="AG24" s="13"/>
      <c r="AH24" s="13"/>
    </row>
    <row r="25" spans="1:46" s="42" customFormat="1" ht="45" customHeight="1">
      <c r="A25" s="169">
        <v>6</v>
      </c>
      <c r="B25" s="51" t="s">
        <v>46</v>
      </c>
      <c r="C25" s="52" t="s">
        <v>30</v>
      </c>
      <c r="D25" s="52"/>
      <c r="E25" s="64">
        <v>1.85</v>
      </c>
      <c r="F25" s="64"/>
      <c r="G25" s="65">
        <v>51735.546900000001</v>
      </c>
      <c r="H25" s="66"/>
      <c r="I25" s="55"/>
      <c r="J25" s="55"/>
      <c r="K25" s="55"/>
      <c r="L25" s="171"/>
      <c r="M25" s="55"/>
      <c r="N25" s="55"/>
      <c r="O25" s="55"/>
      <c r="P25" s="171"/>
      <c r="Q25" s="55"/>
      <c r="R25" s="55"/>
      <c r="S25" s="55"/>
      <c r="T25" s="171"/>
      <c r="U25" s="175"/>
      <c r="V25" s="175"/>
      <c r="W25" s="171">
        <f>E25</f>
        <v>1.85</v>
      </c>
      <c r="X25" s="171"/>
      <c r="Y25" s="173">
        <f>G25</f>
        <v>51735.546900000001</v>
      </c>
      <c r="Z25" s="34"/>
      <c r="AA25" s="175"/>
      <c r="AB25" s="173"/>
      <c r="AC25" s="175"/>
      <c r="AD25" s="175"/>
      <c r="AE25" s="47"/>
      <c r="AF25" s="48"/>
      <c r="AG25" s="13"/>
      <c r="AH25" s="13"/>
    </row>
    <row r="26" spans="1:46" s="42" customFormat="1" ht="49.7" hidden="1" customHeight="1">
      <c r="A26" s="169">
        <v>8</v>
      </c>
      <c r="B26" s="51" t="s">
        <v>47</v>
      </c>
      <c r="C26" s="52"/>
      <c r="D26" s="52"/>
      <c r="E26" s="64"/>
      <c r="F26" s="64"/>
      <c r="G26" s="175"/>
      <c r="H26" s="66"/>
      <c r="I26" s="55"/>
      <c r="J26" s="55"/>
      <c r="K26" s="55"/>
      <c r="L26" s="171"/>
      <c r="M26" s="55"/>
      <c r="N26" s="55"/>
      <c r="O26" s="55"/>
      <c r="P26" s="171"/>
      <c r="Q26" s="55"/>
      <c r="R26" s="55"/>
      <c r="S26" s="55"/>
      <c r="T26" s="171"/>
      <c r="U26" s="175"/>
      <c r="V26" s="175"/>
      <c r="W26" s="171"/>
      <c r="X26" s="171"/>
      <c r="Y26" s="173"/>
      <c r="Z26" s="34"/>
      <c r="AA26" s="175"/>
      <c r="AB26" s="173"/>
      <c r="AC26" s="175"/>
      <c r="AD26" s="175"/>
      <c r="AE26" s="47"/>
      <c r="AF26" s="48"/>
      <c r="AG26" s="13"/>
      <c r="AH26" s="13"/>
    </row>
    <row r="27" spans="1:46" s="42" customFormat="1" ht="30" customHeight="1">
      <c r="A27" s="198" t="s">
        <v>48</v>
      </c>
      <c r="B27" s="198"/>
      <c r="C27" s="198"/>
      <c r="D27" s="52"/>
      <c r="E27" s="60">
        <f>SUM(E19:E26)</f>
        <v>9.14</v>
      </c>
      <c r="F27" s="60"/>
      <c r="G27" s="34">
        <f>SUM(G19:G26)</f>
        <v>264504.80982028</v>
      </c>
      <c r="H27" s="60"/>
      <c r="I27" s="35"/>
      <c r="J27" s="35"/>
      <c r="K27" s="35"/>
      <c r="L27" s="60">
        <f>SUM(L19:L19)</f>
        <v>0</v>
      </c>
      <c r="M27" s="35">
        <f>SUM(M19:M19)</f>
        <v>0</v>
      </c>
      <c r="N27" s="35">
        <f>SUM(N19:N19)</f>
        <v>0</v>
      </c>
      <c r="O27" s="35"/>
      <c r="P27" s="60" t="e">
        <f>SUM(#REF!)</f>
        <v>#REF!</v>
      </c>
      <c r="Q27" s="35" t="e">
        <f>SUM(#REF!)</f>
        <v>#REF!</v>
      </c>
      <c r="R27" s="34" t="e">
        <f>SUM(#REF!)</f>
        <v>#REF!</v>
      </c>
      <c r="S27" s="35"/>
      <c r="T27" s="60"/>
      <c r="U27" s="34"/>
      <c r="V27" s="34">
        <f>SUM(V20:V22)</f>
        <v>0</v>
      </c>
      <c r="W27" s="34">
        <f>SUM(W19:W26)</f>
        <v>6.09</v>
      </c>
      <c r="X27" s="60"/>
      <c r="Y27" s="36">
        <f>SUM(Y19:Y26)</f>
        <v>159204.80981999999</v>
      </c>
      <c r="Z27" s="34">
        <f>SUM(Z20:Z23)</f>
        <v>3.0500000000000007</v>
      </c>
      <c r="AA27" s="60"/>
      <c r="AB27" s="36">
        <f>SUM(AB20:AB23)</f>
        <v>105300.00000028001</v>
      </c>
      <c r="AC27" s="34">
        <f>SUM(AC20:AC26)</f>
        <v>0</v>
      </c>
      <c r="AD27" s="34"/>
      <c r="AE27" s="37">
        <f>SUM(AE20:AE26)</f>
        <v>0</v>
      </c>
      <c r="AF27" s="69"/>
      <c r="AG27" s="13"/>
      <c r="AH27" s="13"/>
      <c r="AJ27" s="40">
        <f>T27+W27+Z27</f>
        <v>9.14</v>
      </c>
    </row>
    <row r="28" spans="1:46" s="42" customFormat="1" ht="12" hidden="1" customHeight="1">
      <c r="A28" s="186" t="s">
        <v>49</v>
      </c>
      <c r="B28" s="186"/>
      <c r="C28" s="185"/>
      <c r="D28" s="185"/>
      <c r="E28" s="185"/>
      <c r="F28" s="165"/>
      <c r="G28" s="34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175"/>
      <c r="V28" s="175"/>
      <c r="W28" s="175"/>
      <c r="X28" s="52"/>
      <c r="Y28" s="173"/>
      <c r="Z28" s="34"/>
      <c r="AA28" s="175"/>
      <c r="AB28" s="173"/>
      <c r="AC28" s="175"/>
      <c r="AD28" s="175"/>
      <c r="AE28" s="47"/>
      <c r="AF28" s="48"/>
      <c r="AG28" s="13"/>
      <c r="AH28" s="13"/>
    </row>
    <row r="29" spans="1:46" s="42" customFormat="1" ht="12" hidden="1" customHeight="1">
      <c r="A29" s="58">
        <v>13</v>
      </c>
      <c r="B29" s="51" t="s">
        <v>50</v>
      </c>
      <c r="C29" s="52" t="s">
        <v>30</v>
      </c>
      <c r="D29" s="52"/>
      <c r="E29" s="64"/>
      <c r="F29" s="64"/>
      <c r="G29" s="175"/>
      <c r="H29" s="66"/>
      <c r="I29" s="55"/>
      <c r="J29" s="55"/>
      <c r="K29" s="55"/>
      <c r="L29" s="53"/>
      <c r="M29" s="54"/>
      <c r="N29" s="55"/>
      <c r="O29" s="55"/>
      <c r="P29" s="171"/>
      <c r="Q29" s="55"/>
      <c r="R29" s="55"/>
      <c r="S29" s="55"/>
      <c r="T29" s="171"/>
      <c r="U29" s="175"/>
      <c r="V29" s="175"/>
      <c r="W29" s="175">
        <f>E29</f>
        <v>0</v>
      </c>
      <c r="X29" s="171"/>
      <c r="Y29" s="173">
        <f>G29</f>
        <v>0</v>
      </c>
      <c r="Z29" s="34"/>
      <c r="AA29" s="175"/>
      <c r="AB29" s="173"/>
      <c r="AC29" s="175"/>
      <c r="AD29" s="175"/>
      <c r="AE29" s="47"/>
      <c r="AF29" s="48"/>
      <c r="AG29" s="13"/>
      <c r="AH29" s="13"/>
    </row>
    <row r="30" spans="1:46" s="42" customFormat="1" ht="12" hidden="1" customHeight="1">
      <c r="A30" s="70">
        <v>5</v>
      </c>
      <c r="B30" s="51" t="s">
        <v>51</v>
      </c>
      <c r="C30" s="52"/>
      <c r="D30" s="52"/>
      <c r="E30" s="64"/>
      <c r="F30" s="64"/>
      <c r="G30" s="175"/>
      <c r="H30" s="66"/>
      <c r="I30" s="55"/>
      <c r="J30" s="55"/>
      <c r="K30" s="55"/>
      <c r="L30" s="53"/>
      <c r="M30" s="54"/>
      <c r="N30" s="55"/>
      <c r="O30" s="55"/>
      <c r="P30" s="171"/>
      <c r="Q30" s="55"/>
      <c r="R30" s="55"/>
      <c r="S30" s="55"/>
      <c r="T30" s="171"/>
      <c r="U30" s="175"/>
      <c r="V30" s="175"/>
      <c r="W30" s="171">
        <f>E30</f>
        <v>0</v>
      </c>
      <c r="X30" s="171"/>
      <c r="Y30" s="173">
        <f>G30</f>
        <v>0</v>
      </c>
      <c r="Z30" s="34"/>
      <c r="AA30" s="175"/>
      <c r="AB30" s="173"/>
      <c r="AC30" s="175"/>
      <c r="AD30" s="175"/>
      <c r="AE30" s="47"/>
      <c r="AF30" s="48"/>
      <c r="AG30" s="13"/>
      <c r="AH30" s="13"/>
    </row>
    <row r="31" spans="1:46" s="42" customFormat="1" ht="12" hidden="1" customHeight="1">
      <c r="A31" s="198" t="s">
        <v>52</v>
      </c>
      <c r="B31" s="198"/>
      <c r="C31" s="52"/>
      <c r="D31" s="52"/>
      <c r="E31" s="60">
        <f>E30</f>
        <v>0</v>
      </c>
      <c r="F31" s="60"/>
      <c r="G31" s="34">
        <f>G30</f>
        <v>0</v>
      </c>
      <c r="H31" s="60" t="e">
        <f>SUM(#REF!)</f>
        <v>#REF!</v>
      </c>
      <c r="I31" s="35" t="e">
        <f>SUM(#REF!)</f>
        <v>#REF!</v>
      </c>
      <c r="J31" s="35" t="e">
        <f>SUM(#REF!)</f>
        <v>#REF!</v>
      </c>
      <c r="K31" s="35"/>
      <c r="L31" s="60" t="e">
        <f>SUM(#REF!)</f>
        <v>#REF!</v>
      </c>
      <c r="M31" s="35" t="e">
        <f>SUM(#REF!)</f>
        <v>#REF!</v>
      </c>
      <c r="N31" s="35" t="e">
        <f>SUM(#REF!)</f>
        <v>#REF!</v>
      </c>
      <c r="O31" s="35" t="e">
        <f>SUM(#REF!)</f>
        <v>#REF!</v>
      </c>
      <c r="P31" s="71" t="e">
        <f>SUM(#REF!)</f>
        <v>#REF!</v>
      </c>
      <c r="Q31" s="35" t="e">
        <f>SUM(#REF!)</f>
        <v>#REF!</v>
      </c>
      <c r="R31" s="35" t="e">
        <f>SUM(#REF!)</f>
        <v>#REF!</v>
      </c>
      <c r="S31" s="35"/>
      <c r="T31" s="60"/>
      <c r="U31" s="34"/>
      <c r="V31" s="34"/>
      <c r="W31" s="34">
        <f>W30</f>
        <v>0</v>
      </c>
      <c r="X31" s="60"/>
      <c r="Y31" s="36">
        <f>Y30</f>
        <v>0</v>
      </c>
      <c r="Z31" s="34"/>
      <c r="AA31" s="34"/>
      <c r="AB31" s="36"/>
      <c r="AC31" s="34"/>
      <c r="AD31" s="34"/>
      <c r="AE31" s="37"/>
      <c r="AF31" s="69"/>
      <c r="AG31" s="13"/>
      <c r="AH31" s="13"/>
      <c r="AJ31" s="40">
        <f>T31+W31+Z31</f>
        <v>0</v>
      </c>
    </row>
    <row r="32" spans="1:46" s="42" customFormat="1" ht="29.25" customHeight="1">
      <c r="A32" s="186" t="s">
        <v>53</v>
      </c>
      <c r="B32" s="186"/>
      <c r="C32" s="185"/>
      <c r="D32" s="185"/>
      <c r="E32" s="185"/>
      <c r="F32" s="165"/>
      <c r="G32" s="34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175"/>
      <c r="V32" s="175"/>
      <c r="W32" s="175"/>
      <c r="X32" s="52"/>
      <c r="Y32" s="173"/>
      <c r="Z32" s="34"/>
      <c r="AA32" s="175"/>
      <c r="AB32" s="173"/>
      <c r="AC32" s="175"/>
      <c r="AD32" s="175"/>
      <c r="AE32" s="47"/>
      <c r="AF32" s="48"/>
      <c r="AG32" s="13"/>
      <c r="AH32" s="13"/>
    </row>
    <row r="33" spans="1:36" s="42" customFormat="1" ht="43.5" hidden="1" customHeight="1">
      <c r="A33" s="58"/>
      <c r="B33" s="51" t="s">
        <v>54</v>
      </c>
      <c r="C33" s="52" t="s">
        <v>55</v>
      </c>
      <c r="D33" s="52"/>
      <c r="E33" s="64"/>
      <c r="F33" s="64"/>
      <c r="G33" s="175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175"/>
      <c r="V33" s="175"/>
      <c r="W33" s="175"/>
      <c r="X33" s="72"/>
      <c r="Y33" s="73"/>
      <c r="Z33" s="34"/>
      <c r="AA33" s="175"/>
      <c r="AB33" s="173"/>
      <c r="AC33" s="175"/>
      <c r="AD33" s="175"/>
      <c r="AE33" s="47"/>
      <c r="AF33" s="48"/>
      <c r="AG33" s="13"/>
      <c r="AH33" s="13"/>
    </row>
    <row r="34" spans="1:36" s="42" customFormat="1" ht="45" hidden="1" customHeight="1">
      <c r="A34" s="58">
        <v>10</v>
      </c>
      <c r="B34" s="51" t="s">
        <v>56</v>
      </c>
      <c r="C34" s="52" t="s">
        <v>30</v>
      </c>
      <c r="D34" s="52"/>
      <c r="E34" s="171"/>
      <c r="F34" s="171"/>
      <c r="G34" s="175"/>
      <c r="H34" s="66"/>
      <c r="I34" s="55"/>
      <c r="J34" s="55"/>
      <c r="K34" s="55"/>
      <c r="L34" s="171"/>
      <c r="M34" s="55"/>
      <c r="N34" s="55"/>
      <c r="O34" s="55"/>
      <c r="P34" s="171"/>
      <c r="Q34" s="55"/>
      <c r="R34" s="55"/>
      <c r="S34" s="55"/>
      <c r="T34" s="171"/>
      <c r="U34" s="175"/>
      <c r="V34" s="175"/>
      <c r="W34" s="175"/>
      <c r="X34" s="171"/>
      <c r="Y34" s="173"/>
      <c r="Z34" s="34"/>
      <c r="AA34" s="175"/>
      <c r="AB34" s="173"/>
      <c r="AC34" s="175"/>
      <c r="AD34" s="175"/>
      <c r="AE34" s="47"/>
      <c r="AF34" s="48"/>
      <c r="AG34" s="13"/>
      <c r="AH34" s="13"/>
    </row>
    <row r="35" spans="1:36" s="42" customFormat="1" ht="45" hidden="1" customHeight="1">
      <c r="A35" s="58">
        <v>9</v>
      </c>
      <c r="B35" s="51" t="s">
        <v>57</v>
      </c>
      <c r="C35" s="52" t="s">
        <v>55</v>
      </c>
      <c r="D35" s="52"/>
      <c r="E35" s="64"/>
      <c r="F35" s="64"/>
      <c r="G35" s="175"/>
      <c r="H35" s="66"/>
      <c r="I35" s="55"/>
      <c r="J35" s="55"/>
      <c r="K35" s="55"/>
      <c r="L35" s="171"/>
      <c r="M35" s="55"/>
      <c r="N35" s="55"/>
      <c r="O35" s="55"/>
      <c r="P35" s="171"/>
      <c r="Q35" s="55"/>
      <c r="R35" s="55"/>
      <c r="S35" s="55"/>
      <c r="T35" s="171"/>
      <c r="U35" s="175"/>
      <c r="V35" s="175"/>
      <c r="W35" s="64">
        <f>E35</f>
        <v>0</v>
      </c>
      <c r="X35" s="171"/>
      <c r="Y35" s="173">
        <f>G35</f>
        <v>0</v>
      </c>
      <c r="Z35" s="34"/>
      <c r="AA35" s="175"/>
      <c r="AB35" s="173"/>
      <c r="AC35" s="175"/>
      <c r="AD35" s="175"/>
      <c r="AE35" s="47"/>
      <c r="AF35" s="48"/>
      <c r="AG35" s="13"/>
      <c r="AH35" s="13"/>
    </row>
    <row r="36" spans="1:36" s="42" customFormat="1" ht="53.65" customHeight="1">
      <c r="A36" s="169">
        <v>7</v>
      </c>
      <c r="B36" s="51" t="s">
        <v>58</v>
      </c>
      <c r="C36" s="52" t="s">
        <v>30</v>
      </c>
      <c r="D36" s="74">
        <v>4.8</v>
      </c>
      <c r="E36" s="64">
        <f>5-0.02</f>
        <v>4.9800000000000004</v>
      </c>
      <c r="F36" s="64"/>
      <c r="G36" s="65">
        <f>120537.4803</f>
        <v>120537.4803</v>
      </c>
      <c r="H36" s="66"/>
      <c r="I36" s="55"/>
      <c r="J36" s="55"/>
      <c r="K36" s="55"/>
      <c r="L36" s="171"/>
      <c r="M36" s="55"/>
      <c r="N36" s="55"/>
      <c r="O36" s="55"/>
      <c r="P36" s="171"/>
      <c r="Q36" s="55"/>
      <c r="R36" s="55"/>
      <c r="S36" s="55"/>
      <c r="T36" s="171"/>
      <c r="U36" s="175"/>
      <c r="V36" s="175">
        <v>9892.0542100000002</v>
      </c>
      <c r="W36" s="64">
        <f>E36</f>
        <v>4.9800000000000004</v>
      </c>
      <c r="X36" s="171"/>
      <c r="Y36" s="173">
        <f>G36-V36</f>
        <v>110645.42608999999</v>
      </c>
      <c r="Z36" s="34"/>
      <c r="AA36" s="175"/>
      <c r="AB36" s="173"/>
      <c r="AC36" s="175"/>
      <c r="AD36" s="175"/>
      <c r="AE36" s="47"/>
      <c r="AF36" s="48"/>
      <c r="AG36" s="13"/>
      <c r="AH36" s="13"/>
    </row>
    <row r="37" spans="1:36" s="42" customFormat="1" ht="45.75" hidden="1" customHeight="1">
      <c r="A37" s="58">
        <v>11</v>
      </c>
      <c r="B37" s="51" t="s">
        <v>59</v>
      </c>
      <c r="C37" s="52" t="s">
        <v>30</v>
      </c>
      <c r="D37" s="52"/>
      <c r="E37" s="64"/>
      <c r="F37" s="64"/>
      <c r="G37" s="175"/>
      <c r="H37" s="66"/>
      <c r="I37" s="55"/>
      <c r="J37" s="55"/>
      <c r="K37" s="55"/>
      <c r="L37" s="171"/>
      <c r="M37" s="55"/>
      <c r="N37" s="55"/>
      <c r="O37" s="55"/>
      <c r="P37" s="171"/>
      <c r="Q37" s="55"/>
      <c r="R37" s="55"/>
      <c r="S37" s="55"/>
      <c r="T37" s="171"/>
      <c r="U37" s="175"/>
      <c r="V37" s="175"/>
      <c r="W37" s="64">
        <f>E37</f>
        <v>0</v>
      </c>
      <c r="X37" s="171"/>
      <c r="Y37" s="173">
        <f>G37</f>
        <v>0</v>
      </c>
      <c r="Z37" s="34"/>
      <c r="AA37" s="175"/>
      <c r="AB37" s="173"/>
      <c r="AC37" s="175"/>
      <c r="AD37" s="175"/>
      <c r="AE37" s="47"/>
      <c r="AF37" s="48"/>
      <c r="AG37" s="13"/>
      <c r="AH37" s="13"/>
    </row>
    <row r="38" spans="1:36" s="42" customFormat="1" ht="3.75" hidden="1" customHeight="1">
      <c r="A38" s="58">
        <v>12</v>
      </c>
      <c r="B38" s="51" t="s">
        <v>60</v>
      </c>
      <c r="C38" s="52" t="s">
        <v>30</v>
      </c>
      <c r="D38" s="52"/>
      <c r="E38" s="64"/>
      <c r="F38" s="64"/>
      <c r="G38" s="175"/>
      <c r="H38" s="66"/>
      <c r="I38" s="55"/>
      <c r="J38" s="55"/>
      <c r="K38" s="55"/>
      <c r="L38" s="171"/>
      <c r="M38" s="55"/>
      <c r="N38" s="55"/>
      <c r="O38" s="55"/>
      <c r="P38" s="171"/>
      <c r="Q38" s="55"/>
      <c r="R38" s="55"/>
      <c r="S38" s="55"/>
      <c r="T38" s="171"/>
      <c r="U38" s="175"/>
      <c r="V38" s="175"/>
      <c r="W38" s="64">
        <f>E38</f>
        <v>0</v>
      </c>
      <c r="X38" s="171"/>
      <c r="Y38" s="173">
        <f>G38</f>
        <v>0</v>
      </c>
      <c r="Z38" s="34"/>
      <c r="AA38" s="175"/>
      <c r="AB38" s="173"/>
      <c r="AC38" s="175"/>
      <c r="AD38" s="175"/>
      <c r="AE38" s="47"/>
      <c r="AF38" s="48"/>
      <c r="AG38" s="13"/>
      <c r="AH38" s="13"/>
    </row>
    <row r="39" spans="1:36" s="42" customFormat="1" ht="33.75" customHeight="1">
      <c r="A39" s="198" t="s">
        <v>61</v>
      </c>
      <c r="B39" s="198"/>
      <c r="C39" s="198"/>
      <c r="D39" s="52"/>
      <c r="E39" s="60">
        <f>SUM(E33:E38)</f>
        <v>4.9800000000000004</v>
      </c>
      <c r="F39" s="60"/>
      <c r="G39" s="34">
        <f>SUM(G33:G38)</f>
        <v>120537.4803</v>
      </c>
      <c r="H39" s="60" t="e">
        <f>SUM(#REF!)</f>
        <v>#REF!</v>
      </c>
      <c r="I39" s="35" t="e">
        <f>SUM(#REF!)</f>
        <v>#REF!</v>
      </c>
      <c r="J39" s="35" t="e">
        <f>SUM(#REF!)</f>
        <v>#REF!</v>
      </c>
      <c r="K39" s="35"/>
      <c r="L39" s="60" t="e">
        <f>SUM(#REF!)</f>
        <v>#REF!</v>
      </c>
      <c r="M39" s="35"/>
      <c r="N39" s="35"/>
      <c r="O39" s="35"/>
      <c r="P39" s="60">
        <f>SUM(P34:P34)</f>
        <v>0</v>
      </c>
      <c r="Q39" s="35">
        <f>SUM(Q34:Q34)</f>
        <v>0</v>
      </c>
      <c r="R39" s="35">
        <f>SUM(R34:R34)</f>
        <v>0</v>
      </c>
      <c r="S39" s="35"/>
      <c r="T39" s="60"/>
      <c r="U39" s="34"/>
      <c r="V39" s="34">
        <f>SUM(V33:V38)</f>
        <v>9892.0542100000002</v>
      </c>
      <c r="W39" s="34">
        <f>SUM(W35:W38)</f>
        <v>4.9800000000000004</v>
      </c>
      <c r="X39" s="60"/>
      <c r="Y39" s="36">
        <f>SUM(Y35:Y38)</f>
        <v>110645.42608999999</v>
      </c>
      <c r="Z39" s="34"/>
      <c r="AA39" s="34"/>
      <c r="AB39" s="36"/>
      <c r="AC39" s="34"/>
      <c r="AD39" s="34"/>
      <c r="AE39" s="37"/>
      <c r="AF39" s="69"/>
      <c r="AG39" s="13"/>
      <c r="AH39" s="13"/>
      <c r="AJ39" s="40">
        <f>T39+W39+Z39</f>
        <v>4.9800000000000004</v>
      </c>
    </row>
    <row r="40" spans="1:36" s="42" customFormat="1" ht="30.75" customHeight="1">
      <c r="A40" s="186" t="s">
        <v>62</v>
      </c>
      <c r="B40" s="186"/>
      <c r="C40" s="185"/>
      <c r="D40" s="185"/>
      <c r="E40" s="185"/>
      <c r="F40" s="165"/>
      <c r="G40" s="34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175"/>
      <c r="V40" s="175"/>
      <c r="W40" s="175"/>
      <c r="X40" s="52"/>
      <c r="Y40" s="173"/>
      <c r="Z40" s="34"/>
      <c r="AA40" s="175"/>
      <c r="AB40" s="173"/>
      <c r="AC40" s="175"/>
      <c r="AD40" s="175"/>
      <c r="AE40" s="47"/>
      <c r="AF40" s="48"/>
      <c r="AG40" s="13"/>
      <c r="AH40" s="13"/>
    </row>
    <row r="41" spans="1:36" s="42" customFormat="1" ht="45" customHeight="1">
      <c r="A41" s="169">
        <v>8</v>
      </c>
      <c r="B41" s="75" t="s">
        <v>63</v>
      </c>
      <c r="C41" s="52" t="s">
        <v>55</v>
      </c>
      <c r="D41" s="165"/>
      <c r="E41" s="66">
        <v>1.6</v>
      </c>
      <c r="F41" s="165"/>
      <c r="G41" s="65">
        <v>28678.39847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66"/>
      <c r="U41" s="175"/>
      <c r="V41" s="175">
        <f>G41-Y41</f>
        <v>18786.344259999998</v>
      </c>
      <c r="W41" s="171">
        <f>E41</f>
        <v>1.6</v>
      </c>
      <c r="X41" s="52"/>
      <c r="Y41" s="175">
        <v>9892.0542100000002</v>
      </c>
      <c r="Z41" s="34"/>
      <c r="AA41" s="175"/>
      <c r="AB41" s="173"/>
      <c r="AC41" s="175"/>
      <c r="AD41" s="175"/>
      <c r="AE41" s="47"/>
      <c r="AF41" s="48"/>
      <c r="AG41" s="13"/>
      <c r="AH41" s="13"/>
    </row>
    <row r="42" spans="1:36" s="42" customFormat="1" ht="62.85" customHeight="1">
      <c r="A42" s="169">
        <v>9</v>
      </c>
      <c r="B42" s="75" t="s">
        <v>64</v>
      </c>
      <c r="C42" s="52" t="s">
        <v>30</v>
      </c>
      <c r="D42" s="52"/>
      <c r="E42" s="66">
        <v>5.4</v>
      </c>
      <c r="F42" s="66"/>
      <c r="G42" s="65">
        <v>130244.10676</v>
      </c>
      <c r="H42" s="66"/>
      <c r="I42" s="55"/>
      <c r="J42" s="55"/>
      <c r="K42" s="55"/>
      <c r="L42" s="53"/>
      <c r="M42" s="54"/>
      <c r="N42" s="55"/>
      <c r="O42" s="55"/>
      <c r="P42" s="171"/>
      <c r="Q42" s="55"/>
      <c r="R42" s="55"/>
      <c r="S42" s="55"/>
      <c r="T42" s="171"/>
      <c r="U42" s="175"/>
      <c r="V42" s="175"/>
      <c r="W42" s="66">
        <f>E42</f>
        <v>5.4</v>
      </c>
      <c r="X42" s="171"/>
      <c r="Y42" s="173">
        <f>G42</f>
        <v>130244.10676</v>
      </c>
      <c r="Z42" s="34"/>
      <c r="AA42" s="175"/>
      <c r="AB42" s="173"/>
      <c r="AC42" s="175"/>
      <c r="AD42" s="175"/>
      <c r="AE42" s="47"/>
      <c r="AF42" s="48"/>
      <c r="AG42" s="13"/>
      <c r="AH42" s="13"/>
    </row>
    <row r="43" spans="1:36" s="42" customFormat="1" ht="45" hidden="1" customHeight="1">
      <c r="A43" s="169"/>
      <c r="B43" s="75" t="s">
        <v>65</v>
      </c>
      <c r="C43" s="52" t="s">
        <v>30</v>
      </c>
      <c r="D43" s="52"/>
      <c r="E43" s="66"/>
      <c r="F43" s="66"/>
      <c r="G43" s="175"/>
      <c r="H43" s="66"/>
      <c r="I43" s="55"/>
      <c r="J43" s="55"/>
      <c r="K43" s="55"/>
      <c r="L43" s="53"/>
      <c r="M43" s="54"/>
      <c r="N43" s="55"/>
      <c r="O43" s="55"/>
      <c r="P43" s="171"/>
      <c r="Q43" s="55"/>
      <c r="R43" s="55"/>
      <c r="S43" s="55"/>
      <c r="T43" s="171"/>
      <c r="U43" s="175"/>
      <c r="V43" s="175"/>
      <c r="W43" s="66">
        <f>E43</f>
        <v>0</v>
      </c>
      <c r="X43" s="171"/>
      <c r="Y43" s="173">
        <f>G43</f>
        <v>0</v>
      </c>
      <c r="Z43" s="34"/>
      <c r="AA43" s="175"/>
      <c r="AB43" s="173"/>
      <c r="AC43" s="175"/>
      <c r="AD43" s="175"/>
      <c r="AE43" s="47"/>
      <c r="AF43" s="48"/>
      <c r="AG43" s="13"/>
      <c r="AH43" s="13"/>
    </row>
    <row r="44" spans="1:36" s="42" customFormat="1" ht="45" hidden="1" customHeight="1">
      <c r="A44" s="169">
        <v>12</v>
      </c>
      <c r="B44" s="75" t="s">
        <v>66</v>
      </c>
      <c r="C44" s="52" t="s">
        <v>30</v>
      </c>
      <c r="D44" s="52"/>
      <c r="E44" s="66"/>
      <c r="F44" s="66"/>
      <c r="G44" s="175"/>
      <c r="H44" s="66"/>
      <c r="I44" s="55"/>
      <c r="J44" s="55"/>
      <c r="K44" s="55"/>
      <c r="L44" s="53"/>
      <c r="M44" s="54"/>
      <c r="N44" s="55"/>
      <c r="O44" s="55"/>
      <c r="P44" s="171"/>
      <c r="Q44" s="55"/>
      <c r="R44" s="55"/>
      <c r="S44" s="55"/>
      <c r="T44" s="171"/>
      <c r="U44" s="175"/>
      <c r="V44" s="175"/>
      <c r="W44" s="66"/>
      <c r="X44" s="171"/>
      <c r="Y44" s="173"/>
      <c r="Z44" s="66"/>
      <c r="AA44" s="175"/>
      <c r="AB44" s="173"/>
      <c r="AC44" s="175"/>
      <c r="AD44" s="175"/>
      <c r="AE44" s="47"/>
      <c r="AF44" s="48"/>
      <c r="AG44" s="13"/>
      <c r="AH44" s="13"/>
    </row>
    <row r="45" spans="1:36" s="42" customFormat="1" ht="48.4" customHeight="1">
      <c r="A45" s="169">
        <v>10</v>
      </c>
      <c r="B45" s="75" t="s">
        <v>67</v>
      </c>
      <c r="C45" s="52" t="s">
        <v>30</v>
      </c>
      <c r="D45" s="52"/>
      <c r="E45" s="66">
        <v>0.6</v>
      </c>
      <c r="F45" s="66"/>
      <c r="G45" s="65">
        <f>E45*30000</f>
        <v>18000</v>
      </c>
      <c r="H45" s="66"/>
      <c r="I45" s="55"/>
      <c r="J45" s="55"/>
      <c r="K45" s="55"/>
      <c r="L45" s="53"/>
      <c r="M45" s="54"/>
      <c r="N45" s="55"/>
      <c r="O45" s="55"/>
      <c r="P45" s="171"/>
      <c r="Q45" s="55"/>
      <c r="R45" s="55"/>
      <c r="S45" s="55"/>
      <c r="T45" s="171"/>
      <c r="U45" s="175"/>
      <c r="V45" s="175"/>
      <c r="W45" s="66"/>
      <c r="X45" s="171"/>
      <c r="Y45" s="173"/>
      <c r="Z45" s="66">
        <f>E45</f>
        <v>0.6</v>
      </c>
      <c r="AA45" s="175"/>
      <c r="AB45" s="173">
        <f>G45</f>
        <v>18000</v>
      </c>
      <c r="AC45" s="175"/>
      <c r="AD45" s="175"/>
      <c r="AE45" s="47"/>
      <c r="AF45" s="48"/>
      <c r="AG45" s="13"/>
      <c r="AH45" s="13"/>
    </row>
    <row r="46" spans="1:36" s="42" customFormat="1" ht="27" customHeight="1">
      <c r="A46" s="198" t="s">
        <v>68</v>
      </c>
      <c r="B46" s="198"/>
      <c r="C46" s="198"/>
      <c r="D46" s="52"/>
      <c r="E46" s="60">
        <f>SUM(E41:E45)</f>
        <v>7.6</v>
      </c>
      <c r="F46" s="60"/>
      <c r="G46" s="34">
        <f>SUM(G41:G45)</f>
        <v>176922.50523000001</v>
      </c>
      <c r="H46" s="60" t="e">
        <f>SUM(#REF!)</f>
        <v>#REF!</v>
      </c>
      <c r="I46" s="35" t="e">
        <f>SUM(#REF!)</f>
        <v>#REF!</v>
      </c>
      <c r="J46" s="35" t="e">
        <f>SUM(#REF!)</f>
        <v>#REF!</v>
      </c>
      <c r="K46" s="35"/>
      <c r="L46" s="60" t="e">
        <f>SUM(#REF!)</f>
        <v>#REF!</v>
      </c>
      <c r="M46" s="35" t="e">
        <f>SUM(#REF!)</f>
        <v>#REF!</v>
      </c>
      <c r="N46" s="35" t="e">
        <f>SUM(#REF!)</f>
        <v>#REF!</v>
      </c>
      <c r="O46" s="35"/>
      <c r="P46" s="60" t="e">
        <f>SUM(#REF!)</f>
        <v>#REF!</v>
      </c>
      <c r="Q46" s="35" t="e">
        <f>SUM(#REF!)</f>
        <v>#REF!</v>
      </c>
      <c r="R46" s="35" t="e">
        <f>SUM(#REF!)</f>
        <v>#REF!</v>
      </c>
      <c r="S46" s="35"/>
      <c r="T46" s="60">
        <f>SUM(T41:T45)</f>
        <v>0</v>
      </c>
      <c r="U46" s="60"/>
      <c r="V46" s="34">
        <f>SUM(V41:V45)</f>
        <v>18786.344259999998</v>
      </c>
      <c r="W46" s="34">
        <f>SUM(W41:W43)</f>
        <v>7</v>
      </c>
      <c r="X46" s="60"/>
      <c r="Y46" s="36">
        <f>SUM(Y41:Y43)</f>
        <v>140136.16097</v>
      </c>
      <c r="Z46" s="34">
        <f>SUM(Z44:Z45)</f>
        <v>0.6</v>
      </c>
      <c r="AA46" s="34"/>
      <c r="AB46" s="36">
        <f>SUM(AB44:AB45)</f>
        <v>18000</v>
      </c>
      <c r="AC46" s="34"/>
      <c r="AD46" s="34"/>
      <c r="AE46" s="37"/>
      <c r="AF46" s="69"/>
      <c r="AG46" s="13"/>
      <c r="AH46" s="13"/>
      <c r="AJ46" s="40">
        <f>T46+W46+Z46</f>
        <v>7.6</v>
      </c>
    </row>
    <row r="47" spans="1:36" s="42" customFormat="1" ht="33.950000000000003" customHeight="1">
      <c r="A47" s="186" t="s">
        <v>69</v>
      </c>
      <c r="B47" s="186"/>
      <c r="C47" s="185"/>
      <c r="D47" s="185"/>
      <c r="E47" s="185"/>
      <c r="F47" s="165"/>
      <c r="G47" s="34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175"/>
      <c r="V47" s="175"/>
      <c r="W47" s="175"/>
      <c r="X47" s="52"/>
      <c r="Y47" s="173"/>
      <c r="Z47" s="34"/>
      <c r="AA47" s="175"/>
      <c r="AB47" s="173"/>
      <c r="AC47" s="175"/>
      <c r="AD47" s="175"/>
      <c r="AE47" s="47"/>
      <c r="AF47" s="48"/>
      <c r="AG47" s="13"/>
      <c r="AH47" s="13"/>
    </row>
    <row r="48" spans="1:36" s="42" customFormat="1" ht="49.5" hidden="1" customHeight="1">
      <c r="A48" s="58">
        <v>19</v>
      </c>
      <c r="B48" s="75" t="s">
        <v>70</v>
      </c>
      <c r="C48" s="52" t="s">
        <v>30</v>
      </c>
      <c r="D48" s="52"/>
      <c r="E48" s="72"/>
      <c r="F48" s="72"/>
      <c r="G48" s="175"/>
      <c r="H48" s="66"/>
      <c r="I48" s="55"/>
      <c r="J48" s="55"/>
      <c r="K48" s="55"/>
      <c r="L48" s="53"/>
      <c r="M48" s="54"/>
      <c r="N48" s="55"/>
      <c r="O48" s="55"/>
      <c r="P48" s="171"/>
      <c r="Q48" s="55"/>
      <c r="R48" s="55"/>
      <c r="S48" s="55"/>
      <c r="T48" s="72"/>
      <c r="U48" s="175"/>
      <c r="V48" s="175"/>
      <c r="W48" s="175"/>
      <c r="X48" s="171"/>
      <c r="Y48" s="173"/>
      <c r="Z48" s="34"/>
      <c r="AA48" s="175"/>
      <c r="AB48" s="173"/>
      <c r="AC48" s="175"/>
      <c r="AD48" s="175"/>
      <c r="AE48" s="47"/>
      <c r="AF48" s="48"/>
      <c r="AG48" s="13"/>
      <c r="AH48" s="13"/>
    </row>
    <row r="49" spans="1:43" s="42" customFormat="1" ht="47.1" customHeight="1">
      <c r="A49" s="169">
        <v>11</v>
      </c>
      <c r="B49" s="75" t="s">
        <v>71</v>
      </c>
      <c r="C49" s="52" t="s">
        <v>30</v>
      </c>
      <c r="D49" s="52"/>
      <c r="E49" s="72">
        <f>24.2-11.5</f>
        <v>12.7</v>
      </c>
      <c r="F49" s="72"/>
      <c r="G49" s="175">
        <v>303504.53000000003</v>
      </c>
      <c r="H49" s="66"/>
      <c r="I49" s="55"/>
      <c r="J49" s="55"/>
      <c r="K49" s="55"/>
      <c r="L49" s="53"/>
      <c r="M49" s="54"/>
      <c r="N49" s="55"/>
      <c r="O49" s="55"/>
      <c r="P49" s="171"/>
      <c r="Q49" s="55"/>
      <c r="R49" s="55"/>
      <c r="S49" s="55"/>
      <c r="T49" s="171">
        <v>12.7</v>
      </c>
      <c r="U49" s="56"/>
      <c r="V49" s="175">
        <v>101295.31540000001</v>
      </c>
      <c r="W49" s="175"/>
      <c r="X49" s="171"/>
      <c r="Y49" s="73"/>
      <c r="Z49" s="34"/>
      <c r="AA49" s="175"/>
      <c r="AB49" s="173"/>
      <c r="AC49" s="175"/>
      <c r="AD49" s="175"/>
      <c r="AE49" s="47"/>
      <c r="AF49" s="48"/>
      <c r="AG49" s="13"/>
      <c r="AH49" s="13"/>
      <c r="AK49" s="41">
        <f>G49-V49</f>
        <v>202209.21460000001</v>
      </c>
    </row>
    <row r="50" spans="1:43" s="42" customFormat="1" ht="35.25" hidden="1" customHeight="1">
      <c r="A50" s="169">
        <v>14</v>
      </c>
      <c r="B50" s="75" t="s">
        <v>72</v>
      </c>
      <c r="C50" s="52" t="s">
        <v>42</v>
      </c>
      <c r="D50" s="52"/>
      <c r="E50" s="72"/>
      <c r="F50" s="72"/>
      <c r="G50" s="175"/>
      <c r="H50" s="66"/>
      <c r="I50" s="55"/>
      <c r="J50" s="55"/>
      <c r="K50" s="55"/>
      <c r="L50" s="53"/>
      <c r="M50" s="54"/>
      <c r="N50" s="55"/>
      <c r="O50" s="55"/>
      <c r="P50" s="171"/>
      <c r="Q50" s="55"/>
      <c r="R50" s="55"/>
      <c r="S50" s="55"/>
      <c r="T50" s="72"/>
      <c r="U50" s="175"/>
      <c r="V50" s="175"/>
      <c r="W50" s="171"/>
      <c r="X50" s="171"/>
      <c r="Y50" s="73"/>
      <c r="Z50" s="171">
        <f>E50</f>
        <v>0</v>
      </c>
      <c r="AA50" s="175"/>
      <c r="AB50" s="173">
        <f>G50</f>
        <v>0</v>
      </c>
      <c r="AC50" s="175"/>
      <c r="AD50" s="175"/>
      <c r="AE50" s="47"/>
      <c r="AF50" s="48"/>
      <c r="AG50" s="13"/>
      <c r="AH50" s="13"/>
    </row>
    <row r="51" spans="1:43" s="42" customFormat="1" ht="30.75" customHeight="1">
      <c r="A51" s="198" t="s">
        <v>73</v>
      </c>
      <c r="B51" s="198"/>
      <c r="C51" s="198"/>
      <c r="D51" s="52"/>
      <c r="E51" s="60">
        <f>SUM(E49:E50)</f>
        <v>12.7</v>
      </c>
      <c r="F51" s="60"/>
      <c r="G51" s="34">
        <f>SUM(G49:G50)</f>
        <v>303504.53000000003</v>
      </c>
      <c r="H51" s="60" t="e">
        <f>SUM(#REF!)</f>
        <v>#REF!</v>
      </c>
      <c r="I51" s="35" t="e">
        <f>SUM(#REF!)</f>
        <v>#REF!</v>
      </c>
      <c r="J51" s="35" t="e">
        <f>SUM(#REF!)</f>
        <v>#REF!</v>
      </c>
      <c r="K51" s="35"/>
      <c r="L51" s="60" t="e">
        <f>SUM(#REF!)</f>
        <v>#REF!</v>
      </c>
      <c r="M51" s="35" t="e">
        <f>SUM(#REF!)</f>
        <v>#REF!</v>
      </c>
      <c r="N51" s="35" t="e">
        <f>SUM(#REF!)</f>
        <v>#REF!</v>
      </c>
      <c r="O51" s="35" t="e">
        <f>SUM(#REF!)</f>
        <v>#REF!</v>
      </c>
      <c r="P51" s="60">
        <f>SUM(P48:P49)</f>
        <v>0</v>
      </c>
      <c r="Q51" s="35">
        <f>SUM(Q48:Q49)</f>
        <v>0</v>
      </c>
      <c r="R51" s="35">
        <f>SUM(R48:R49)</f>
        <v>0</v>
      </c>
      <c r="S51" s="35">
        <f>SUM(S48:S49)</f>
        <v>0</v>
      </c>
      <c r="T51" s="60">
        <f>SUM(T48:T49)</f>
        <v>12.7</v>
      </c>
      <c r="U51" s="34"/>
      <c r="V51" s="34">
        <f>SUM(V48:V49)</f>
        <v>101295.31540000001</v>
      </c>
      <c r="W51" s="60">
        <f>SUM(W48:W49)</f>
        <v>0</v>
      </c>
      <c r="X51" s="60"/>
      <c r="Y51" s="36">
        <f>SUM(Y48:Y49)</f>
        <v>0</v>
      </c>
      <c r="Z51" s="34">
        <f>SUM(Z50:Z50)</f>
        <v>0</v>
      </c>
      <c r="AA51" s="34"/>
      <c r="AB51" s="36">
        <f>SUM(AB50:AB50)</f>
        <v>0</v>
      </c>
      <c r="AC51" s="34"/>
      <c r="AD51" s="34"/>
      <c r="AE51" s="37"/>
      <c r="AF51" s="69"/>
      <c r="AG51" s="13"/>
      <c r="AH51" s="13"/>
      <c r="AJ51" s="40">
        <f>T51+W51+Z51</f>
        <v>12.7</v>
      </c>
    </row>
    <row r="52" spans="1:43" s="42" customFormat="1" ht="30.75" customHeight="1">
      <c r="A52" s="186" t="s">
        <v>74</v>
      </c>
      <c r="B52" s="186"/>
      <c r="C52" s="185"/>
      <c r="D52" s="185"/>
      <c r="E52" s="185"/>
      <c r="F52" s="165"/>
      <c r="G52" s="34"/>
      <c r="H52" s="52"/>
      <c r="I52" s="52"/>
      <c r="J52" s="52"/>
      <c r="K52" s="52"/>
      <c r="L52" s="52"/>
      <c r="M52" s="52"/>
      <c r="N52" s="52"/>
      <c r="O52" s="52"/>
      <c r="P52" s="52"/>
      <c r="Q52" s="55"/>
      <c r="R52" s="52"/>
      <c r="S52" s="52"/>
      <c r="T52" s="52"/>
      <c r="U52" s="175"/>
      <c r="V52" s="175"/>
      <c r="W52" s="175"/>
      <c r="X52" s="52"/>
      <c r="Y52" s="173"/>
      <c r="Z52" s="34"/>
      <c r="AA52" s="175"/>
      <c r="AB52" s="173"/>
      <c r="AC52" s="175"/>
      <c r="AD52" s="175"/>
      <c r="AE52" s="47"/>
      <c r="AF52" s="48"/>
      <c r="AG52" s="13"/>
      <c r="AH52" s="13"/>
    </row>
    <row r="53" spans="1:43" s="42" customFormat="1" ht="48" hidden="1" customHeight="1">
      <c r="A53" s="58"/>
      <c r="B53" s="75" t="s">
        <v>75</v>
      </c>
      <c r="C53" s="52" t="s">
        <v>30</v>
      </c>
      <c r="D53" s="52"/>
      <c r="E53" s="72"/>
      <c r="F53" s="72"/>
      <c r="G53" s="175"/>
      <c r="H53" s="66"/>
      <c r="I53" s="55"/>
      <c r="J53" s="55"/>
      <c r="K53" s="55"/>
      <c r="L53" s="53"/>
      <c r="M53" s="54"/>
      <c r="N53" s="55"/>
      <c r="O53" s="55"/>
      <c r="P53" s="53"/>
      <c r="Q53" s="54"/>
      <c r="R53" s="55"/>
      <c r="S53" s="55"/>
      <c r="T53" s="171"/>
      <c r="U53" s="175"/>
      <c r="V53" s="175"/>
      <c r="W53" s="175"/>
      <c r="X53" s="171"/>
      <c r="Y53" s="73"/>
      <c r="Z53" s="34"/>
      <c r="AA53" s="175"/>
      <c r="AB53" s="173"/>
      <c r="AC53" s="175"/>
      <c r="AD53" s="175"/>
      <c r="AE53" s="47"/>
      <c r="AF53" s="48"/>
      <c r="AG53" s="13"/>
      <c r="AH53" s="13"/>
    </row>
    <row r="54" spans="1:43" s="42" customFormat="1" ht="45.75" customHeight="1">
      <c r="A54" s="169">
        <v>12</v>
      </c>
      <c r="B54" s="75" t="s">
        <v>76</v>
      </c>
      <c r="C54" s="52" t="s">
        <v>30</v>
      </c>
      <c r="D54" s="52"/>
      <c r="E54" s="72">
        <f>8.47-3.5</f>
        <v>4.9700000000000006</v>
      </c>
      <c r="F54" s="66"/>
      <c r="G54" s="175">
        <f>E54*28000</f>
        <v>139160.00000000003</v>
      </c>
      <c r="H54" s="66"/>
      <c r="I54" s="55"/>
      <c r="J54" s="55"/>
      <c r="K54" s="55"/>
      <c r="L54" s="53"/>
      <c r="M54" s="54"/>
      <c r="N54" s="55"/>
      <c r="O54" s="55"/>
      <c r="P54" s="53"/>
      <c r="Q54" s="54"/>
      <c r="R54" s="55"/>
      <c r="S54" s="55"/>
      <c r="T54" s="72"/>
      <c r="U54" s="175"/>
      <c r="V54" s="175"/>
      <c r="W54" s="66"/>
      <c r="X54" s="171"/>
      <c r="Y54" s="173"/>
      <c r="Z54" s="171">
        <f>E54</f>
        <v>4.9700000000000006</v>
      </c>
      <c r="AA54" s="175"/>
      <c r="AB54" s="173">
        <f>G54</f>
        <v>139160.00000000003</v>
      </c>
      <c r="AC54" s="175"/>
      <c r="AD54" s="175"/>
      <c r="AE54" s="47"/>
      <c r="AF54" s="48"/>
      <c r="AG54" s="13"/>
      <c r="AH54" s="13"/>
    </row>
    <row r="55" spans="1:43" s="42" customFormat="1" ht="6.75" hidden="1" customHeight="1">
      <c r="A55" s="58">
        <v>10</v>
      </c>
      <c r="B55" s="75" t="s">
        <v>77</v>
      </c>
      <c r="C55" s="52"/>
      <c r="D55" s="52"/>
      <c r="E55" s="66"/>
      <c r="F55" s="66"/>
      <c r="G55" s="175"/>
      <c r="H55" s="66"/>
      <c r="I55" s="55"/>
      <c r="J55" s="55"/>
      <c r="K55" s="55"/>
      <c r="L55" s="53"/>
      <c r="M55" s="54"/>
      <c r="N55" s="55"/>
      <c r="O55" s="55"/>
      <c r="P55" s="53"/>
      <c r="Q55" s="54"/>
      <c r="R55" s="55"/>
      <c r="S55" s="55"/>
      <c r="T55" s="72"/>
      <c r="U55" s="175"/>
      <c r="V55" s="175"/>
      <c r="W55" s="66"/>
      <c r="X55" s="171"/>
      <c r="Y55" s="173"/>
      <c r="Z55" s="34"/>
      <c r="AA55" s="175"/>
      <c r="AB55" s="173"/>
      <c r="AC55" s="175"/>
      <c r="AD55" s="175"/>
      <c r="AE55" s="47"/>
      <c r="AF55" s="48"/>
      <c r="AG55" s="13"/>
      <c r="AH55" s="13"/>
    </row>
    <row r="56" spans="1:43" s="42" customFormat="1" ht="30.75" customHeight="1">
      <c r="A56" s="205" t="s">
        <v>78</v>
      </c>
      <c r="B56" s="205"/>
      <c r="C56" s="205"/>
      <c r="D56" s="59"/>
      <c r="E56" s="60">
        <f>SUM(E54:E55)</f>
        <v>4.9700000000000006</v>
      </c>
      <c r="F56" s="60"/>
      <c r="G56" s="34">
        <f>SUM(G54:G55)</f>
        <v>139160.00000000003</v>
      </c>
      <c r="H56" s="60" t="e">
        <f>SUM(#REF!)</f>
        <v>#REF!</v>
      </c>
      <c r="I56" s="35" t="e">
        <f>SUM(#REF!)</f>
        <v>#REF!</v>
      </c>
      <c r="J56" s="35" t="e">
        <f>SUM(#REF!)</f>
        <v>#REF!</v>
      </c>
      <c r="K56" s="35"/>
      <c r="L56" s="60" t="e">
        <f>SUM(#REF!)</f>
        <v>#REF!</v>
      </c>
      <c r="M56" s="35" t="e">
        <f>SUM(#REF!)</f>
        <v>#REF!</v>
      </c>
      <c r="N56" s="35" t="e">
        <f>SUM(#REF!)</f>
        <v>#REF!</v>
      </c>
      <c r="O56" s="35" t="e">
        <f>SUM(#REF!)</f>
        <v>#REF!</v>
      </c>
      <c r="P56" s="60">
        <f t="shared" ref="P56:V56" si="1">SUM(P53:P54)</f>
        <v>0</v>
      </c>
      <c r="Q56" s="35">
        <f t="shared" si="1"/>
        <v>0</v>
      </c>
      <c r="R56" s="35">
        <f t="shared" si="1"/>
        <v>0</v>
      </c>
      <c r="S56" s="35">
        <f t="shared" si="1"/>
        <v>0</v>
      </c>
      <c r="T56" s="60">
        <f t="shared" si="1"/>
        <v>0</v>
      </c>
      <c r="U56" s="34">
        <f t="shared" si="1"/>
        <v>0</v>
      </c>
      <c r="V56" s="34">
        <f t="shared" si="1"/>
        <v>0</v>
      </c>
      <c r="W56" s="34">
        <f>SUM(W54)</f>
        <v>0</v>
      </c>
      <c r="X56" s="60"/>
      <c r="Y56" s="36">
        <f>SUM(Y54:Y55)</f>
        <v>0</v>
      </c>
      <c r="Z56" s="60">
        <f>SUM(Z54:Z55)</f>
        <v>4.9700000000000006</v>
      </c>
      <c r="AA56" s="60"/>
      <c r="AB56" s="34">
        <f>SUM(AB54:AB55)</f>
        <v>139160.00000000003</v>
      </c>
      <c r="AC56" s="34"/>
      <c r="AD56" s="34"/>
      <c r="AE56" s="37"/>
      <c r="AF56" s="69"/>
      <c r="AG56" s="13"/>
      <c r="AH56" s="13"/>
      <c r="AJ56" s="40">
        <f>T56+W56+Z56</f>
        <v>4.9700000000000006</v>
      </c>
    </row>
    <row r="57" spans="1:43" s="42" customFormat="1" ht="30" customHeight="1">
      <c r="A57" s="186" t="s">
        <v>79</v>
      </c>
      <c r="B57" s="186"/>
      <c r="C57" s="185"/>
      <c r="D57" s="185"/>
      <c r="E57" s="185"/>
      <c r="F57" s="165"/>
      <c r="G57" s="34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175"/>
      <c r="V57" s="175"/>
      <c r="W57" s="175"/>
      <c r="X57" s="52"/>
      <c r="Y57" s="173"/>
      <c r="Z57" s="34"/>
      <c r="AA57" s="175"/>
      <c r="AB57" s="173"/>
      <c r="AC57" s="175"/>
      <c r="AD57" s="175"/>
      <c r="AE57" s="47"/>
      <c r="AF57" s="48"/>
      <c r="AG57" s="13"/>
      <c r="AH57" s="13"/>
      <c r="AO57" s="42" t="s">
        <v>31</v>
      </c>
    </row>
    <row r="58" spans="1:43" s="42" customFormat="1" ht="29.25" customHeight="1">
      <c r="A58" s="169">
        <v>13</v>
      </c>
      <c r="B58" s="75" t="s">
        <v>80</v>
      </c>
      <c r="C58" s="52" t="s">
        <v>33</v>
      </c>
      <c r="D58" s="52"/>
      <c r="E58" s="72">
        <v>3.9</v>
      </c>
      <c r="F58" s="72"/>
      <c r="G58" s="175">
        <f>V58+Y58</f>
        <v>90872.591809999998</v>
      </c>
      <c r="H58" s="66"/>
      <c r="I58" s="55"/>
      <c r="J58" s="55"/>
      <c r="K58" s="55"/>
      <c r="L58" s="53"/>
      <c r="M58" s="54"/>
      <c r="N58" s="55"/>
      <c r="O58" s="55"/>
      <c r="P58" s="171"/>
      <c r="Q58" s="55"/>
      <c r="R58" s="55"/>
      <c r="S58" s="55"/>
      <c r="T58" s="171">
        <v>3.9</v>
      </c>
      <c r="U58" s="175"/>
      <c r="V58" s="175">
        <v>90872.591809999998</v>
      </c>
      <c r="W58" s="72"/>
      <c r="X58" s="171"/>
      <c r="Y58" s="173"/>
      <c r="Z58" s="34"/>
      <c r="AA58" s="175"/>
      <c r="AB58" s="173"/>
      <c r="AC58" s="175"/>
      <c r="AD58" s="175"/>
      <c r="AE58" s="47"/>
      <c r="AF58" s="48"/>
      <c r="AG58" s="13"/>
      <c r="AH58" s="13"/>
      <c r="AL58" s="42" t="s">
        <v>34</v>
      </c>
    </row>
    <row r="59" spans="1:43" s="42" customFormat="1" ht="42.75" customHeight="1">
      <c r="A59" s="169">
        <v>14</v>
      </c>
      <c r="B59" s="75" t="s">
        <v>81</v>
      </c>
      <c r="C59" s="52" t="s">
        <v>30</v>
      </c>
      <c r="D59" s="52"/>
      <c r="E59" s="72">
        <v>0.8</v>
      </c>
      <c r="F59" s="72"/>
      <c r="G59" s="175">
        <f>15962.64*1.2*1.078*1.053+756.31753+500</f>
        <v>23000.000002511999</v>
      </c>
      <c r="H59" s="66"/>
      <c r="I59" s="55"/>
      <c r="J59" s="55"/>
      <c r="K59" s="55"/>
      <c r="L59" s="53"/>
      <c r="M59" s="54"/>
      <c r="N59" s="55"/>
      <c r="O59" s="55"/>
      <c r="P59" s="171"/>
      <c r="Q59" s="55"/>
      <c r="R59" s="55"/>
      <c r="S59" s="55"/>
      <c r="T59" s="171"/>
      <c r="U59" s="175"/>
      <c r="V59" s="175"/>
      <c r="W59" s="175"/>
      <c r="X59" s="171"/>
      <c r="Y59" s="173"/>
      <c r="Z59" s="72">
        <f>E59</f>
        <v>0.8</v>
      </c>
      <c r="AA59" s="175"/>
      <c r="AB59" s="173">
        <f>G59</f>
        <v>23000.000002511999</v>
      </c>
      <c r="AC59" s="175"/>
      <c r="AD59" s="175"/>
      <c r="AE59" s="47"/>
      <c r="AF59" s="48"/>
      <c r="AG59" s="13"/>
      <c r="AH59" s="13"/>
    </row>
    <row r="60" spans="1:43" s="42" customFormat="1" ht="42.75" hidden="1" customHeight="1">
      <c r="A60" s="169"/>
      <c r="B60" s="75" t="s">
        <v>82</v>
      </c>
      <c r="C60" s="52"/>
      <c r="D60" s="52"/>
      <c r="E60" s="72"/>
      <c r="F60" s="72"/>
      <c r="G60" s="175"/>
      <c r="H60" s="66"/>
      <c r="I60" s="55"/>
      <c r="J60" s="55"/>
      <c r="K60" s="55"/>
      <c r="L60" s="53"/>
      <c r="M60" s="54"/>
      <c r="N60" s="55"/>
      <c r="O60" s="55"/>
      <c r="P60" s="171"/>
      <c r="Q60" s="55"/>
      <c r="R60" s="55"/>
      <c r="S60" s="55"/>
      <c r="T60" s="171"/>
      <c r="U60" s="175"/>
      <c r="V60" s="175"/>
      <c r="W60" s="171">
        <f>E60</f>
        <v>0</v>
      </c>
      <c r="X60" s="171"/>
      <c r="Y60" s="173">
        <f>G60</f>
        <v>0</v>
      </c>
      <c r="Z60" s="34"/>
      <c r="AA60" s="175"/>
      <c r="AB60" s="173"/>
      <c r="AC60" s="175"/>
      <c r="AD60" s="175"/>
      <c r="AE60" s="47"/>
      <c r="AF60" s="48"/>
      <c r="AG60" s="13"/>
      <c r="AH60" s="13"/>
      <c r="AQ60" s="42" t="s">
        <v>31</v>
      </c>
    </row>
    <row r="61" spans="1:43" s="42" customFormat="1" ht="48.4" hidden="1" customHeight="1">
      <c r="A61" s="169">
        <v>18</v>
      </c>
      <c r="B61" s="75" t="s">
        <v>83</v>
      </c>
      <c r="C61" s="52" t="s">
        <v>42</v>
      </c>
      <c r="D61" s="52"/>
      <c r="E61" s="72"/>
      <c r="F61" s="72"/>
      <c r="G61" s="175"/>
      <c r="H61" s="66"/>
      <c r="I61" s="55"/>
      <c r="J61" s="55"/>
      <c r="K61" s="55"/>
      <c r="L61" s="53"/>
      <c r="M61" s="54"/>
      <c r="N61" s="55"/>
      <c r="O61" s="55"/>
      <c r="P61" s="171"/>
      <c r="Q61" s="55"/>
      <c r="R61" s="55"/>
      <c r="S61" s="55"/>
      <c r="T61" s="171"/>
      <c r="U61" s="175"/>
      <c r="V61" s="175"/>
      <c r="W61" s="171"/>
      <c r="X61" s="171"/>
      <c r="Y61" s="173"/>
      <c r="Z61" s="72">
        <f>E61</f>
        <v>0</v>
      </c>
      <c r="AA61" s="175"/>
      <c r="AB61" s="173">
        <f>G61</f>
        <v>0</v>
      </c>
      <c r="AC61" s="175"/>
      <c r="AD61" s="175"/>
      <c r="AE61" s="47"/>
      <c r="AF61" s="48"/>
      <c r="AG61" s="13"/>
      <c r="AH61" s="13"/>
    </row>
    <row r="62" spans="1:43" s="42" customFormat="1" ht="44.25" customHeight="1">
      <c r="A62" s="169">
        <v>15</v>
      </c>
      <c r="B62" s="75" t="s">
        <v>84</v>
      </c>
      <c r="C62" s="52" t="s">
        <v>30</v>
      </c>
      <c r="D62" s="52"/>
      <c r="E62" s="72">
        <v>9.5</v>
      </c>
      <c r="F62" s="72"/>
      <c r="G62" s="175">
        <f>334391.66413</f>
        <v>334391.66412999999</v>
      </c>
      <c r="H62" s="66"/>
      <c r="I62" s="55"/>
      <c r="J62" s="55"/>
      <c r="K62" s="55"/>
      <c r="L62" s="53"/>
      <c r="M62" s="54"/>
      <c r="N62" s="55"/>
      <c r="O62" s="55"/>
      <c r="P62" s="171"/>
      <c r="Q62" s="55"/>
      <c r="R62" s="55"/>
      <c r="S62" s="55"/>
      <c r="T62" s="171"/>
      <c r="U62" s="175"/>
      <c r="V62" s="175"/>
      <c r="W62" s="175"/>
      <c r="X62" s="171"/>
      <c r="Y62" s="175">
        <v>81597</v>
      </c>
      <c r="Z62" s="72">
        <f>E62</f>
        <v>9.5</v>
      </c>
      <c r="AA62" s="175"/>
      <c r="AB62" s="173">
        <f>G62-Y62</f>
        <v>252794.66412999999</v>
      </c>
      <c r="AC62" s="175"/>
      <c r="AD62" s="175"/>
      <c r="AE62" s="47"/>
      <c r="AF62" s="48"/>
      <c r="AG62" s="13"/>
      <c r="AH62" s="13"/>
    </row>
    <row r="63" spans="1:43" s="42" customFormat="1" ht="31.5" customHeight="1">
      <c r="A63" s="198" t="s">
        <v>85</v>
      </c>
      <c r="B63" s="198"/>
      <c r="C63" s="198"/>
      <c r="D63" s="52"/>
      <c r="E63" s="60">
        <f>SUM(E58:E62)</f>
        <v>14.2</v>
      </c>
      <c r="F63" s="60"/>
      <c r="G63" s="34">
        <f>SUM(G58:G62)</f>
        <v>448264.25594251195</v>
      </c>
      <c r="H63" s="60" t="e">
        <f>SUM(#REF!)</f>
        <v>#REF!</v>
      </c>
      <c r="I63" s="35" t="e">
        <f>SUM(#REF!)</f>
        <v>#REF!</v>
      </c>
      <c r="J63" s="35" t="e">
        <f>SUM(#REF!)</f>
        <v>#REF!</v>
      </c>
      <c r="K63" s="35"/>
      <c r="L63" s="60" t="e">
        <f>SUM(#REF!)</f>
        <v>#REF!</v>
      </c>
      <c r="M63" s="35" t="e">
        <f>SUM(#REF!)</f>
        <v>#REF!</v>
      </c>
      <c r="N63" s="35" t="e">
        <f>SUM(#REF!)</f>
        <v>#REF!</v>
      </c>
      <c r="O63" s="35" t="e">
        <f>SUM(#REF!)</f>
        <v>#REF!</v>
      </c>
      <c r="P63" s="60" t="e">
        <f>SUM(#REF!)</f>
        <v>#REF!</v>
      </c>
      <c r="Q63" s="35" t="e">
        <f>SUM(#REF!)</f>
        <v>#REF!</v>
      </c>
      <c r="R63" s="35" t="e">
        <f>SUM(#REF!)</f>
        <v>#REF!</v>
      </c>
      <c r="S63" s="35"/>
      <c r="T63" s="60">
        <f>SUM(T58:T59)</f>
        <v>3.9</v>
      </c>
      <c r="U63" s="34"/>
      <c r="V63" s="34">
        <f>SUM(V58:V59)</f>
        <v>90872.591809999998</v>
      </c>
      <c r="W63" s="34">
        <f>SUM(W58:W62)</f>
        <v>0</v>
      </c>
      <c r="X63" s="60"/>
      <c r="Y63" s="36">
        <f>SUM(Y58:Y62)</f>
        <v>81597</v>
      </c>
      <c r="Z63" s="34">
        <f>SUM(Z59:Z62)</f>
        <v>10.3</v>
      </c>
      <c r="AA63" s="60"/>
      <c r="AB63" s="36">
        <f>SUM(AB59:AB62)</f>
        <v>275794.664132512</v>
      </c>
      <c r="AC63" s="34"/>
      <c r="AD63" s="34"/>
      <c r="AE63" s="37"/>
      <c r="AF63" s="69"/>
      <c r="AG63" s="13" t="s">
        <v>40</v>
      </c>
      <c r="AH63" s="13"/>
      <c r="AJ63" s="40">
        <f>T63+W63+Z63</f>
        <v>14.200000000000001</v>
      </c>
    </row>
    <row r="64" spans="1:43" s="42" customFormat="1" ht="30.2" customHeight="1">
      <c r="A64" s="186" t="s">
        <v>86</v>
      </c>
      <c r="B64" s="186"/>
      <c r="C64" s="185"/>
      <c r="D64" s="185"/>
      <c r="E64" s="185"/>
      <c r="F64" s="165"/>
      <c r="G64" s="34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175"/>
      <c r="V64" s="175"/>
      <c r="W64" s="175"/>
      <c r="X64" s="52"/>
      <c r="Y64" s="173"/>
      <c r="Z64" s="34"/>
      <c r="AA64" s="175"/>
      <c r="AB64" s="173"/>
      <c r="AC64" s="175"/>
      <c r="AD64" s="175"/>
      <c r="AE64" s="47"/>
      <c r="AF64" s="48"/>
      <c r="AG64" s="13"/>
      <c r="AH64" s="13"/>
    </row>
    <row r="65" spans="1:36" s="42" customFormat="1" ht="45.75" customHeight="1">
      <c r="A65" s="169">
        <v>16</v>
      </c>
      <c r="B65" s="75" t="s">
        <v>87</v>
      </c>
      <c r="C65" s="52" t="s">
        <v>30</v>
      </c>
      <c r="D65" s="52"/>
      <c r="E65" s="72">
        <v>1</v>
      </c>
      <c r="F65" s="72"/>
      <c r="G65" s="175">
        <v>43471.569309999999</v>
      </c>
      <c r="H65" s="66"/>
      <c r="I65" s="55"/>
      <c r="J65" s="55"/>
      <c r="K65" s="55"/>
      <c r="L65" s="53"/>
      <c r="M65" s="54"/>
      <c r="N65" s="55"/>
      <c r="O65" s="55"/>
      <c r="P65" s="171"/>
      <c r="Q65" s="55"/>
      <c r="R65" s="55"/>
      <c r="S65" s="55"/>
      <c r="T65" s="171"/>
      <c r="U65" s="175"/>
      <c r="V65" s="175"/>
      <c r="W65" s="72"/>
      <c r="X65" s="171"/>
      <c r="Y65" s="173"/>
      <c r="Z65" s="72">
        <f>E65</f>
        <v>1</v>
      </c>
      <c r="AA65" s="72"/>
      <c r="AB65" s="175">
        <f>G65</f>
        <v>43471.569309999999</v>
      </c>
      <c r="AC65" s="175"/>
      <c r="AD65" s="175"/>
      <c r="AE65" s="47"/>
      <c r="AF65" s="48"/>
      <c r="AG65" s="13"/>
      <c r="AH65" s="13"/>
    </row>
    <row r="66" spans="1:36" s="42" customFormat="1" ht="46.5" hidden="1" customHeight="1">
      <c r="A66" s="58"/>
      <c r="B66" s="75" t="s">
        <v>88</v>
      </c>
      <c r="C66" s="52" t="s">
        <v>30</v>
      </c>
      <c r="D66" s="52"/>
      <c r="E66" s="72"/>
      <c r="F66" s="72"/>
      <c r="G66" s="175"/>
      <c r="H66" s="66"/>
      <c r="I66" s="55"/>
      <c r="J66" s="55"/>
      <c r="K66" s="55"/>
      <c r="L66" s="53"/>
      <c r="M66" s="54"/>
      <c r="N66" s="55"/>
      <c r="O66" s="55"/>
      <c r="P66" s="171"/>
      <c r="Q66" s="55"/>
      <c r="R66" s="55"/>
      <c r="S66" s="55"/>
      <c r="T66" s="171"/>
      <c r="U66" s="175"/>
      <c r="V66" s="175"/>
      <c r="W66" s="175"/>
      <c r="X66" s="171"/>
      <c r="Y66" s="173"/>
      <c r="Z66" s="34"/>
      <c r="AA66" s="175"/>
      <c r="AB66" s="173"/>
      <c r="AC66" s="175"/>
      <c r="AD66" s="175"/>
      <c r="AE66" s="47"/>
      <c r="AF66" s="48"/>
      <c r="AG66" s="13"/>
      <c r="AH66" s="13"/>
    </row>
    <row r="67" spans="1:36" s="42" customFormat="1" ht="28.5" customHeight="1">
      <c r="A67" s="198" t="s">
        <v>89</v>
      </c>
      <c r="B67" s="198"/>
      <c r="C67" s="198"/>
      <c r="D67" s="52"/>
      <c r="E67" s="60">
        <f>SUM(E65:E66)</f>
        <v>1</v>
      </c>
      <c r="F67" s="60"/>
      <c r="G67" s="34">
        <f>SUM(G65:G66)</f>
        <v>43471.569309999999</v>
      </c>
      <c r="H67" s="60" t="e">
        <f>SUM(#REF!)</f>
        <v>#REF!</v>
      </c>
      <c r="I67" s="35" t="e">
        <f>SUM(#REF!)</f>
        <v>#REF!</v>
      </c>
      <c r="J67" s="35" t="e">
        <f>SUM(#REF!)</f>
        <v>#REF!</v>
      </c>
      <c r="K67" s="35"/>
      <c r="L67" s="60" t="e">
        <f>SUM(#REF!)</f>
        <v>#REF!</v>
      </c>
      <c r="M67" s="35" t="e">
        <f>SUM(#REF!)</f>
        <v>#REF!</v>
      </c>
      <c r="N67" s="35" t="e">
        <f>SUM(#REF!)</f>
        <v>#REF!</v>
      </c>
      <c r="O67" s="35" t="e">
        <f>SUM(#REF!)</f>
        <v>#REF!</v>
      </c>
      <c r="P67" s="60" t="e">
        <f>SUM(#REF!)</f>
        <v>#REF!</v>
      </c>
      <c r="Q67" s="35" t="e">
        <f>SUM(#REF!)</f>
        <v>#REF!</v>
      </c>
      <c r="R67" s="35" t="e">
        <f>SUM(#REF!)</f>
        <v>#REF!</v>
      </c>
      <c r="S67" s="35"/>
      <c r="T67" s="60"/>
      <c r="U67" s="34"/>
      <c r="V67" s="34"/>
      <c r="W67" s="34">
        <f>SUM(W65:W66)</f>
        <v>0</v>
      </c>
      <c r="X67" s="34"/>
      <c r="Y67" s="36">
        <f>SUM(Y65:Y66)</f>
        <v>0</v>
      </c>
      <c r="Z67" s="60">
        <f>SUM(Z65:Z66)</f>
        <v>1</v>
      </c>
      <c r="AA67" s="60"/>
      <c r="AB67" s="34">
        <f>SUM(AB65:AB66)</f>
        <v>43471.569309999999</v>
      </c>
      <c r="AC67" s="34"/>
      <c r="AD67" s="34"/>
      <c r="AE67" s="37"/>
      <c r="AF67" s="69"/>
      <c r="AG67" s="13"/>
      <c r="AH67" s="13"/>
      <c r="AJ67" s="40">
        <f>T67+W67+Z67</f>
        <v>1</v>
      </c>
    </row>
    <row r="68" spans="1:36" s="42" customFormat="1" ht="32.25" customHeight="1">
      <c r="A68" s="186" t="s">
        <v>90</v>
      </c>
      <c r="B68" s="186"/>
      <c r="C68" s="185"/>
      <c r="D68" s="185"/>
      <c r="E68" s="185"/>
      <c r="F68" s="165"/>
      <c r="G68" s="34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175"/>
      <c r="V68" s="175"/>
      <c r="W68" s="175"/>
      <c r="X68" s="52"/>
      <c r="Y68" s="173"/>
      <c r="Z68" s="34"/>
      <c r="AA68" s="175"/>
      <c r="AB68" s="173"/>
      <c r="AC68" s="175"/>
      <c r="AD68" s="175"/>
      <c r="AE68" s="47"/>
      <c r="AF68" s="48"/>
      <c r="AG68" s="13"/>
      <c r="AH68" s="13"/>
    </row>
    <row r="69" spans="1:36" s="42" customFormat="1" ht="61.5" customHeight="1">
      <c r="A69" s="169">
        <v>17</v>
      </c>
      <c r="B69" s="75" t="s">
        <v>91</v>
      </c>
      <c r="C69" s="52" t="s">
        <v>30</v>
      </c>
      <c r="D69" s="52"/>
      <c r="E69" s="72">
        <v>1.5</v>
      </c>
      <c r="F69" s="72"/>
      <c r="G69" s="65">
        <f>E69*30000</f>
        <v>45000</v>
      </c>
      <c r="H69" s="66"/>
      <c r="I69" s="55"/>
      <c r="J69" s="55"/>
      <c r="K69" s="55"/>
      <c r="L69" s="53"/>
      <c r="M69" s="54"/>
      <c r="N69" s="55"/>
      <c r="O69" s="55"/>
      <c r="P69" s="53"/>
      <c r="Q69" s="54"/>
      <c r="R69" s="55"/>
      <c r="S69" s="55"/>
      <c r="T69" s="171"/>
      <c r="U69" s="175"/>
      <c r="V69" s="175"/>
      <c r="W69" s="171"/>
      <c r="X69" s="171"/>
      <c r="Y69" s="173"/>
      <c r="Z69" s="72">
        <f>E69</f>
        <v>1.5</v>
      </c>
      <c r="AA69" s="175"/>
      <c r="AB69" s="173">
        <f>G69</f>
        <v>45000</v>
      </c>
      <c r="AC69" s="175"/>
      <c r="AD69" s="175"/>
      <c r="AE69" s="47"/>
      <c r="AF69" s="48"/>
      <c r="AG69" s="13"/>
      <c r="AH69" s="13"/>
    </row>
    <row r="70" spans="1:36" s="42" customFormat="1" ht="38.25" hidden="1" customHeight="1">
      <c r="A70" s="58"/>
      <c r="B70" s="75" t="s">
        <v>92</v>
      </c>
      <c r="C70" s="52" t="s">
        <v>33</v>
      </c>
      <c r="D70" s="52"/>
      <c r="E70" s="72"/>
      <c r="F70" s="72"/>
      <c r="G70" s="65"/>
      <c r="H70" s="66"/>
      <c r="I70" s="55"/>
      <c r="J70" s="55"/>
      <c r="K70" s="55"/>
      <c r="L70" s="53"/>
      <c r="M70" s="54"/>
      <c r="N70" s="55"/>
      <c r="O70" s="55"/>
      <c r="P70" s="53"/>
      <c r="Q70" s="54"/>
      <c r="R70" s="55"/>
      <c r="S70" s="55"/>
      <c r="T70" s="171"/>
      <c r="U70" s="175"/>
      <c r="V70" s="175"/>
      <c r="W70" s="171"/>
      <c r="X70" s="171"/>
      <c r="Y70" s="173"/>
      <c r="Z70" s="72">
        <f>E70</f>
        <v>0</v>
      </c>
      <c r="AA70" s="175"/>
      <c r="AB70" s="173">
        <f>G70</f>
        <v>0</v>
      </c>
      <c r="AC70" s="175"/>
      <c r="AD70" s="175"/>
      <c r="AE70" s="47"/>
      <c r="AF70" s="48"/>
      <c r="AG70" s="13"/>
      <c r="AH70" s="13"/>
    </row>
    <row r="71" spans="1:36" s="42" customFormat="1" ht="51.75" hidden="1" customHeight="1">
      <c r="A71" s="58"/>
      <c r="B71" s="75" t="s">
        <v>93</v>
      </c>
      <c r="C71" s="52" t="s">
        <v>55</v>
      </c>
      <c r="D71" s="52"/>
      <c r="E71" s="72"/>
      <c r="F71" s="72"/>
      <c r="G71" s="175"/>
      <c r="H71" s="66"/>
      <c r="I71" s="55"/>
      <c r="J71" s="55"/>
      <c r="K71" s="55"/>
      <c r="L71" s="53"/>
      <c r="M71" s="54"/>
      <c r="N71" s="55"/>
      <c r="O71" s="55"/>
      <c r="P71" s="53"/>
      <c r="Q71" s="54"/>
      <c r="R71" s="55"/>
      <c r="S71" s="55"/>
      <c r="T71" s="171"/>
      <c r="U71" s="175"/>
      <c r="V71" s="175"/>
      <c r="W71" s="171"/>
      <c r="X71" s="171"/>
      <c r="Y71" s="173"/>
      <c r="Z71" s="34"/>
      <c r="AA71" s="175"/>
      <c r="AB71" s="173"/>
      <c r="AC71" s="175"/>
      <c r="AD71" s="175"/>
      <c r="AE71" s="47"/>
      <c r="AF71" s="48"/>
      <c r="AG71" s="13"/>
      <c r="AH71" s="13"/>
    </row>
    <row r="72" spans="1:36" s="42" customFormat="1" ht="35.25" customHeight="1">
      <c r="A72" s="198" t="s">
        <v>94</v>
      </c>
      <c r="B72" s="198"/>
      <c r="C72" s="198"/>
      <c r="D72" s="52"/>
      <c r="E72" s="34">
        <f>SUM(E69:E71)</f>
        <v>1.5</v>
      </c>
      <c r="F72" s="34"/>
      <c r="G72" s="34">
        <f>SUM(G69:G71)</f>
        <v>45000</v>
      </c>
      <c r="H72" s="60"/>
      <c r="I72" s="35"/>
      <c r="J72" s="35"/>
      <c r="K72" s="35"/>
      <c r="L72" s="60"/>
      <c r="M72" s="35"/>
      <c r="N72" s="35"/>
      <c r="O72" s="35"/>
      <c r="P72" s="34"/>
      <c r="Q72" s="35"/>
      <c r="R72" s="35"/>
      <c r="S72" s="35"/>
      <c r="T72" s="34"/>
      <c r="U72" s="34"/>
      <c r="V72" s="34"/>
      <c r="W72" s="34">
        <f>SUM(W69:W71)</f>
        <v>0</v>
      </c>
      <c r="X72" s="34"/>
      <c r="Y72" s="36">
        <f>SUM(Y69:Y71)</f>
        <v>0</v>
      </c>
      <c r="Z72" s="34">
        <f>SUM(Z69:Z71)</f>
        <v>1.5</v>
      </c>
      <c r="AA72" s="34"/>
      <c r="AB72" s="36">
        <f>SUM(AB69:AB71)</f>
        <v>45000</v>
      </c>
      <c r="AC72" s="34"/>
      <c r="AD72" s="34"/>
      <c r="AE72" s="37"/>
      <c r="AF72" s="69"/>
      <c r="AG72" s="13"/>
      <c r="AH72" s="13"/>
    </row>
    <row r="73" spans="1:36" s="42" customFormat="1" ht="31.35" customHeight="1">
      <c r="A73" s="186" t="s">
        <v>95</v>
      </c>
      <c r="B73" s="186"/>
      <c r="C73" s="185"/>
      <c r="D73" s="185"/>
      <c r="E73" s="185"/>
      <c r="F73" s="165"/>
      <c r="G73" s="34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175"/>
      <c r="V73" s="175"/>
      <c r="W73" s="175"/>
      <c r="X73" s="52"/>
      <c r="Y73" s="173"/>
      <c r="Z73" s="34"/>
      <c r="AA73" s="175"/>
      <c r="AB73" s="173"/>
      <c r="AC73" s="175"/>
      <c r="AD73" s="175"/>
      <c r="AE73" s="47"/>
      <c r="AF73" s="48"/>
      <c r="AG73" s="13"/>
      <c r="AH73" s="13"/>
    </row>
    <row r="74" spans="1:36" s="42" customFormat="1" ht="43.15" customHeight="1">
      <c r="A74" s="169">
        <v>18</v>
      </c>
      <c r="B74" s="75" t="s">
        <v>96</v>
      </c>
      <c r="C74" s="52" t="s">
        <v>33</v>
      </c>
      <c r="D74" s="52"/>
      <c r="E74" s="72">
        <v>4.0999999999999996</v>
      </c>
      <c r="F74" s="72"/>
      <c r="G74" s="65">
        <f>103403.06*1.2*1.073+1800+1500.01994</f>
        <v>136441.79999599999</v>
      </c>
      <c r="H74" s="66"/>
      <c r="I74" s="55"/>
      <c r="J74" s="55"/>
      <c r="K74" s="55"/>
      <c r="L74" s="53"/>
      <c r="M74" s="54"/>
      <c r="N74" s="55"/>
      <c r="O74" s="55"/>
      <c r="P74" s="53"/>
      <c r="Q74" s="54"/>
      <c r="R74" s="55"/>
      <c r="S74" s="55"/>
      <c r="T74" s="171"/>
      <c r="U74" s="175"/>
      <c r="V74" s="175"/>
      <c r="W74" s="171">
        <f>E74</f>
        <v>4.0999999999999996</v>
      </c>
      <c r="X74" s="171"/>
      <c r="Y74" s="173">
        <f>G74</f>
        <v>136441.79999599999</v>
      </c>
      <c r="Z74" s="34"/>
      <c r="AA74" s="175"/>
      <c r="AB74" s="173"/>
      <c r="AC74" s="175"/>
      <c r="AD74" s="175"/>
      <c r="AE74" s="47"/>
      <c r="AF74" s="48"/>
      <c r="AG74" s="13"/>
      <c r="AH74" s="13"/>
    </row>
    <row r="75" spans="1:36" s="42" customFormat="1" ht="31.35" customHeight="1">
      <c r="A75" s="198" t="s">
        <v>97</v>
      </c>
      <c r="B75" s="198"/>
      <c r="C75" s="198"/>
      <c r="D75" s="52"/>
      <c r="E75" s="60">
        <f>E74</f>
        <v>4.0999999999999996</v>
      </c>
      <c r="F75" s="60"/>
      <c r="G75" s="34">
        <f>G74</f>
        <v>136441.79999599999</v>
      </c>
      <c r="H75" s="60"/>
      <c r="I75" s="35"/>
      <c r="J75" s="35"/>
      <c r="K75" s="35"/>
      <c r="L75" s="60"/>
      <c r="M75" s="35"/>
      <c r="N75" s="35"/>
      <c r="O75" s="35"/>
      <c r="P75" s="60"/>
      <c r="Q75" s="35"/>
      <c r="R75" s="35"/>
      <c r="S75" s="35"/>
      <c r="T75" s="60"/>
      <c r="U75" s="34"/>
      <c r="V75" s="34"/>
      <c r="W75" s="60">
        <f>W74</f>
        <v>4.0999999999999996</v>
      </c>
      <c r="X75" s="60"/>
      <c r="Y75" s="36">
        <f>Y74</f>
        <v>136441.79999599999</v>
      </c>
      <c r="Z75" s="34"/>
      <c r="AA75" s="34"/>
      <c r="AB75" s="36"/>
      <c r="AC75" s="34"/>
      <c r="AD75" s="34"/>
      <c r="AE75" s="37"/>
      <c r="AF75" s="69"/>
      <c r="AG75" s="13"/>
      <c r="AH75" s="13"/>
      <c r="AJ75" s="40">
        <f>T75+W75+Z75</f>
        <v>4.0999999999999996</v>
      </c>
    </row>
    <row r="76" spans="1:36" s="42" customFormat="1" ht="32.25" hidden="1" customHeight="1">
      <c r="A76" s="186" t="s">
        <v>98</v>
      </c>
      <c r="B76" s="186"/>
      <c r="C76" s="185"/>
      <c r="D76" s="185"/>
      <c r="E76" s="185"/>
      <c r="F76" s="165"/>
      <c r="G76" s="34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175"/>
      <c r="V76" s="175"/>
      <c r="W76" s="175"/>
      <c r="X76" s="52"/>
      <c r="Y76" s="173"/>
      <c r="Z76" s="34"/>
      <c r="AA76" s="175"/>
      <c r="AB76" s="173"/>
      <c r="AC76" s="175"/>
      <c r="AD76" s="175"/>
      <c r="AE76" s="47"/>
      <c r="AF76" s="48"/>
      <c r="AG76" s="13"/>
      <c r="AH76" s="13"/>
    </row>
    <row r="77" spans="1:36" s="42" customFormat="1" ht="65.25" hidden="1" customHeight="1">
      <c r="A77" s="169">
        <v>23</v>
      </c>
      <c r="B77" s="170" t="s">
        <v>99</v>
      </c>
      <c r="C77" s="52" t="s">
        <v>30</v>
      </c>
      <c r="D77" s="52"/>
      <c r="E77" s="72"/>
      <c r="F77" s="66"/>
      <c r="G77" s="175"/>
      <c r="H77" s="66"/>
      <c r="I77" s="55"/>
      <c r="J77" s="55"/>
      <c r="K77" s="55"/>
      <c r="L77" s="53"/>
      <c r="M77" s="54"/>
      <c r="N77" s="55"/>
      <c r="O77" s="55"/>
      <c r="P77" s="171"/>
      <c r="Q77" s="175"/>
      <c r="R77" s="55"/>
      <c r="S77" s="55"/>
      <c r="T77" s="171"/>
      <c r="U77" s="175"/>
      <c r="V77" s="175"/>
      <c r="W77" s="66"/>
      <c r="X77" s="175"/>
      <c r="Y77" s="173"/>
      <c r="Z77" s="66">
        <f>E77</f>
        <v>0</v>
      </c>
      <c r="AA77" s="175"/>
      <c r="AB77" s="173">
        <f>G77</f>
        <v>0</v>
      </c>
      <c r="AC77" s="175"/>
      <c r="AD77" s="175"/>
      <c r="AE77" s="47"/>
      <c r="AF77" s="48"/>
      <c r="AG77" s="13"/>
      <c r="AH77" s="13"/>
    </row>
    <row r="78" spans="1:36" s="42" customFormat="1" ht="28.5" hidden="1" customHeight="1">
      <c r="A78" s="198" t="s">
        <v>100</v>
      </c>
      <c r="B78" s="198"/>
      <c r="C78" s="198"/>
      <c r="D78" s="52"/>
      <c r="E78" s="60">
        <f>SUM(E77:E77)</f>
        <v>0</v>
      </c>
      <c r="F78" s="60"/>
      <c r="G78" s="34">
        <f>SUM(G77:G77)</f>
        <v>0</v>
      </c>
      <c r="H78" s="60" t="e">
        <f>SUM(#REF!)</f>
        <v>#REF!</v>
      </c>
      <c r="I78" s="35" t="e">
        <f>SUM(#REF!)</f>
        <v>#REF!</v>
      </c>
      <c r="J78" s="35" t="e">
        <f>SUM(#REF!)</f>
        <v>#REF!</v>
      </c>
      <c r="K78" s="35"/>
      <c r="L78" s="60" t="e">
        <f>SUM(#REF!)</f>
        <v>#REF!</v>
      </c>
      <c r="M78" s="35" t="e">
        <f>SUM(#REF!)</f>
        <v>#REF!</v>
      </c>
      <c r="N78" s="35" t="e">
        <f>SUM(#REF!)</f>
        <v>#REF!</v>
      </c>
      <c r="O78" s="35" t="e">
        <f>SUM(#REF!)</f>
        <v>#REF!</v>
      </c>
      <c r="P78" s="60" t="e">
        <f>SUM(#REF!)</f>
        <v>#REF!</v>
      </c>
      <c r="Q78" s="35" t="e">
        <f>SUM(#REF!)</f>
        <v>#REF!</v>
      </c>
      <c r="R78" s="35" t="e">
        <f>SUM(#REF!)</f>
        <v>#REF!</v>
      </c>
      <c r="S78" s="35"/>
      <c r="T78" s="60"/>
      <c r="U78" s="34"/>
      <c r="V78" s="34"/>
      <c r="W78" s="34"/>
      <c r="X78" s="60"/>
      <c r="Y78" s="36"/>
      <c r="Z78" s="34">
        <f>SUM(Z77:Z77)</f>
        <v>0</v>
      </c>
      <c r="AA78" s="60"/>
      <c r="AB78" s="36">
        <f>SUM(AB77:AB77)</f>
        <v>0</v>
      </c>
      <c r="AC78" s="34"/>
      <c r="AD78" s="34"/>
      <c r="AE78" s="37"/>
      <c r="AF78" s="69"/>
      <c r="AG78" s="13"/>
      <c r="AH78" s="13"/>
    </row>
    <row r="79" spans="1:36" s="42" customFormat="1" ht="25.5" hidden="1" customHeight="1">
      <c r="A79" s="186" t="s">
        <v>101</v>
      </c>
      <c r="B79" s="186"/>
      <c r="C79" s="185"/>
      <c r="D79" s="185"/>
      <c r="E79" s="185"/>
      <c r="F79" s="165"/>
      <c r="G79" s="34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75"/>
      <c r="V79" s="175"/>
      <c r="W79" s="175"/>
      <c r="X79" s="52"/>
      <c r="Y79" s="173"/>
      <c r="Z79" s="34"/>
      <c r="AA79" s="175"/>
      <c r="AB79" s="173"/>
      <c r="AC79" s="175"/>
      <c r="AD79" s="175"/>
      <c r="AE79" s="47"/>
      <c r="AF79" s="48"/>
      <c r="AG79" s="13"/>
      <c r="AH79" s="13"/>
    </row>
    <row r="80" spans="1:36" s="42" customFormat="1" ht="62.25" hidden="1" customHeight="1">
      <c r="A80" s="58"/>
      <c r="B80" s="51" t="s">
        <v>102</v>
      </c>
      <c r="C80" s="52" t="s">
        <v>30</v>
      </c>
      <c r="D80" s="52"/>
      <c r="E80" s="66"/>
      <c r="F80" s="66"/>
      <c r="G80" s="175"/>
      <c r="H80" s="66"/>
      <c r="I80" s="55"/>
      <c r="J80" s="55"/>
      <c r="K80" s="55"/>
      <c r="L80" s="171"/>
      <c r="M80" s="55"/>
      <c r="N80" s="55"/>
      <c r="O80" s="55"/>
      <c r="P80" s="171"/>
      <c r="Q80" s="55"/>
      <c r="R80" s="55"/>
      <c r="S80" s="55"/>
      <c r="T80" s="171"/>
      <c r="U80" s="175"/>
      <c r="V80" s="175"/>
      <c r="W80" s="66">
        <f>E80</f>
        <v>0</v>
      </c>
      <c r="X80" s="171"/>
      <c r="Y80" s="173">
        <f>G80</f>
        <v>0</v>
      </c>
      <c r="Z80" s="34"/>
      <c r="AA80" s="175"/>
      <c r="AB80" s="173"/>
      <c r="AC80" s="175"/>
      <c r="AD80" s="175"/>
      <c r="AE80" s="47"/>
      <c r="AF80" s="48"/>
      <c r="AG80" s="13"/>
      <c r="AH80" s="13"/>
    </row>
    <row r="81" spans="1:37" s="42" customFormat="1" ht="72.75" hidden="1" customHeight="1">
      <c r="A81" s="58"/>
      <c r="B81" s="75" t="s">
        <v>103</v>
      </c>
      <c r="C81" s="52" t="s">
        <v>30</v>
      </c>
      <c r="D81" s="52"/>
      <c r="E81" s="66"/>
      <c r="F81" s="66"/>
      <c r="G81" s="175"/>
      <c r="H81" s="66"/>
      <c r="I81" s="55"/>
      <c r="J81" s="55"/>
      <c r="K81" s="55"/>
      <c r="L81" s="171"/>
      <c r="M81" s="55"/>
      <c r="N81" s="55"/>
      <c r="O81" s="55"/>
      <c r="P81" s="171"/>
      <c r="Q81" s="55"/>
      <c r="R81" s="55"/>
      <c r="S81" s="55"/>
      <c r="T81" s="171"/>
      <c r="U81" s="175"/>
      <c r="V81" s="175"/>
      <c r="W81" s="66">
        <f>E81</f>
        <v>0</v>
      </c>
      <c r="X81" s="171"/>
      <c r="Y81" s="173">
        <f>G81</f>
        <v>0</v>
      </c>
      <c r="Z81" s="34"/>
      <c r="AA81" s="175"/>
      <c r="AB81" s="173"/>
      <c r="AC81" s="175"/>
      <c r="AD81" s="175"/>
      <c r="AE81" s="47"/>
      <c r="AF81" s="48"/>
      <c r="AG81" s="13"/>
      <c r="AH81" s="13"/>
    </row>
    <row r="82" spans="1:37" s="42" customFormat="1" ht="29.25" hidden="1" customHeight="1">
      <c r="A82" s="198" t="s">
        <v>104</v>
      </c>
      <c r="B82" s="198"/>
      <c r="C82" s="43"/>
      <c r="D82" s="43"/>
      <c r="E82" s="60">
        <f>SUM(E80:E81)</f>
        <v>0</v>
      </c>
      <c r="F82" s="60"/>
      <c r="G82" s="34">
        <f>SUM(G80:G81)</f>
        <v>0</v>
      </c>
      <c r="H82" s="60" t="e">
        <f>SUM(#REF!)</f>
        <v>#REF!</v>
      </c>
      <c r="I82" s="35" t="e">
        <f>SUM(#REF!)</f>
        <v>#REF!</v>
      </c>
      <c r="J82" s="35" t="e">
        <f>SUM(#REF!)</f>
        <v>#REF!</v>
      </c>
      <c r="K82" s="35"/>
      <c r="L82" s="60" t="e">
        <f>SUM(#REF!)</f>
        <v>#REF!</v>
      </c>
      <c r="M82" s="35" t="e">
        <f>SUM(#REF!)</f>
        <v>#REF!</v>
      </c>
      <c r="N82" s="35" t="e">
        <f>SUM(#REF!)</f>
        <v>#REF!</v>
      </c>
      <c r="O82" s="35" t="e">
        <f>SUM(#REF!)</f>
        <v>#REF!</v>
      </c>
      <c r="P82" s="60" t="e">
        <f>SUM(#REF!)</f>
        <v>#REF!</v>
      </c>
      <c r="Q82" s="35" t="e">
        <f>SUM(#REF!)</f>
        <v>#REF!</v>
      </c>
      <c r="R82" s="35" t="e">
        <f>SUM(#REF!)</f>
        <v>#REF!</v>
      </c>
      <c r="S82" s="35"/>
      <c r="T82" s="60"/>
      <c r="U82" s="34"/>
      <c r="V82" s="34"/>
      <c r="W82" s="34">
        <f>SUM(W80:W81)</f>
        <v>0</v>
      </c>
      <c r="X82" s="60"/>
      <c r="Y82" s="36">
        <f>SUM(Y80:Y81)</f>
        <v>0</v>
      </c>
      <c r="Z82" s="34"/>
      <c r="AA82" s="34"/>
      <c r="AB82" s="36"/>
      <c r="AC82" s="34"/>
      <c r="AD82" s="34"/>
      <c r="AE82" s="37"/>
      <c r="AF82" s="69"/>
      <c r="AG82" s="13"/>
      <c r="AH82" s="13"/>
    </row>
    <row r="83" spans="1:37" s="42" customFormat="1" ht="30" hidden="1" customHeight="1">
      <c r="A83" s="186" t="s">
        <v>105</v>
      </c>
      <c r="B83" s="186"/>
      <c r="C83" s="185"/>
      <c r="D83" s="185"/>
      <c r="E83" s="185"/>
      <c r="F83" s="165"/>
      <c r="G83" s="34"/>
      <c r="H83" s="52"/>
      <c r="I83" s="52"/>
      <c r="J83" s="52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175"/>
      <c r="V83" s="175"/>
      <c r="W83" s="175"/>
      <c r="X83" s="52"/>
      <c r="Y83" s="173"/>
      <c r="Z83" s="34"/>
      <c r="AA83" s="175"/>
      <c r="AB83" s="173"/>
      <c r="AC83" s="175"/>
      <c r="AD83" s="175"/>
      <c r="AE83" s="47"/>
      <c r="AF83" s="48"/>
      <c r="AG83" s="13"/>
      <c r="AH83" s="13"/>
    </row>
    <row r="84" spans="1:37" s="42" customFormat="1" ht="48" hidden="1" customHeight="1">
      <c r="A84" s="58">
        <v>33</v>
      </c>
      <c r="B84" s="170" t="s">
        <v>106</v>
      </c>
      <c r="C84" s="52" t="s">
        <v>30</v>
      </c>
      <c r="D84" s="52"/>
      <c r="E84" s="72"/>
      <c r="F84" s="72"/>
      <c r="G84" s="175"/>
      <c r="H84" s="66"/>
      <c r="I84" s="55"/>
      <c r="J84" s="55"/>
      <c r="K84" s="55"/>
      <c r="L84" s="53"/>
      <c r="M84" s="54"/>
      <c r="N84" s="55"/>
      <c r="O84" s="55"/>
      <c r="P84" s="171"/>
      <c r="Q84" s="55"/>
      <c r="R84" s="55"/>
      <c r="S84" s="55"/>
      <c r="T84" s="171"/>
      <c r="U84" s="175"/>
      <c r="V84" s="175"/>
      <c r="W84" s="175"/>
      <c r="X84" s="171"/>
      <c r="Y84" s="173"/>
      <c r="Z84" s="34"/>
      <c r="AA84" s="175"/>
      <c r="AB84" s="173"/>
      <c r="AC84" s="175"/>
      <c r="AD84" s="175"/>
      <c r="AE84" s="47"/>
      <c r="AF84" s="48"/>
      <c r="AG84" s="13"/>
      <c r="AH84" s="13"/>
    </row>
    <row r="85" spans="1:37" s="42" customFormat="1" ht="65.25" hidden="1" customHeight="1">
      <c r="A85" s="58"/>
      <c r="B85" s="170" t="s">
        <v>107</v>
      </c>
      <c r="C85" s="52"/>
      <c r="D85" s="52"/>
      <c r="E85" s="72"/>
      <c r="F85" s="72"/>
      <c r="G85" s="175"/>
      <c r="H85" s="66"/>
      <c r="I85" s="55"/>
      <c r="J85" s="55"/>
      <c r="K85" s="55"/>
      <c r="L85" s="53"/>
      <c r="M85" s="54"/>
      <c r="N85" s="55"/>
      <c r="O85" s="55"/>
      <c r="P85" s="171"/>
      <c r="Q85" s="55"/>
      <c r="R85" s="55"/>
      <c r="S85" s="55"/>
      <c r="T85" s="171"/>
      <c r="U85" s="175"/>
      <c r="V85" s="175"/>
      <c r="W85" s="72"/>
      <c r="X85" s="72"/>
      <c r="Y85" s="173"/>
      <c r="Z85" s="34"/>
      <c r="AA85" s="175"/>
      <c r="AB85" s="173"/>
      <c r="AC85" s="175"/>
      <c r="AD85" s="175"/>
      <c r="AE85" s="47"/>
      <c r="AF85" s="48"/>
      <c r="AG85" s="13"/>
      <c r="AH85" s="13"/>
    </row>
    <row r="86" spans="1:37" s="42" customFormat="1" ht="54" hidden="1" customHeight="1">
      <c r="A86" s="58">
        <v>25</v>
      </c>
      <c r="B86" s="75" t="s">
        <v>108</v>
      </c>
      <c r="C86" s="52"/>
      <c r="D86" s="52"/>
      <c r="E86" s="72"/>
      <c r="F86" s="72"/>
      <c r="G86" s="175"/>
      <c r="H86" s="66"/>
      <c r="I86" s="55"/>
      <c r="J86" s="55"/>
      <c r="K86" s="55"/>
      <c r="L86" s="53"/>
      <c r="M86" s="54"/>
      <c r="N86" s="55"/>
      <c r="O86" s="55"/>
      <c r="P86" s="171"/>
      <c r="Q86" s="55"/>
      <c r="R86" s="55"/>
      <c r="S86" s="55"/>
      <c r="T86" s="171"/>
      <c r="U86" s="175"/>
      <c r="V86" s="175"/>
      <c r="W86" s="171"/>
      <c r="X86" s="171"/>
      <c r="Y86" s="173"/>
      <c r="Z86" s="171"/>
      <c r="AA86" s="175"/>
      <c r="AB86" s="175"/>
      <c r="AC86" s="175"/>
      <c r="AD86" s="175"/>
      <c r="AE86" s="47"/>
      <c r="AF86" s="48" t="e">
        <f>G86/E86</f>
        <v>#DIV/0!</v>
      </c>
      <c r="AG86" s="13"/>
      <c r="AH86" s="13"/>
    </row>
    <row r="87" spans="1:37" s="42" customFormat="1" ht="39.75" hidden="1" customHeight="1">
      <c r="A87" s="186" t="s">
        <v>109</v>
      </c>
      <c r="B87" s="186"/>
      <c r="C87" s="186"/>
      <c r="D87" s="59"/>
      <c r="E87" s="60">
        <f>SUM(E84:E86)</f>
        <v>0</v>
      </c>
      <c r="F87" s="60"/>
      <c r="G87" s="34">
        <f>SUM(G84:G86)</f>
        <v>0</v>
      </c>
      <c r="H87" s="60" t="e">
        <f>SUM(#REF!)</f>
        <v>#REF!</v>
      </c>
      <c r="I87" s="35" t="e">
        <f>SUM(#REF!)</f>
        <v>#REF!</v>
      </c>
      <c r="J87" s="35" t="e">
        <f>SUM(#REF!)</f>
        <v>#REF!</v>
      </c>
      <c r="K87" s="35"/>
      <c r="L87" s="60" t="e">
        <f>SUM(#REF!)</f>
        <v>#REF!</v>
      </c>
      <c r="M87" s="35" t="e">
        <f>SUM(#REF!)</f>
        <v>#REF!</v>
      </c>
      <c r="N87" s="35" t="e">
        <f>SUM(#REF!)</f>
        <v>#REF!</v>
      </c>
      <c r="O87" s="35"/>
      <c r="P87" s="60">
        <f>SUM(P84:P84)</f>
        <v>0</v>
      </c>
      <c r="Q87" s="35">
        <f>SUM(Q84:Q84)</f>
        <v>0</v>
      </c>
      <c r="R87" s="35">
        <f>SUM(R84:R84)</f>
        <v>0</v>
      </c>
      <c r="S87" s="35">
        <f>SUM(S84:S84)</f>
        <v>0</v>
      </c>
      <c r="T87" s="60"/>
      <c r="U87" s="34"/>
      <c r="V87" s="34">
        <f>SUM(V84:V86)</f>
        <v>0</v>
      </c>
      <c r="W87" s="34">
        <f>SUM(W85:W86)</f>
        <v>0</v>
      </c>
      <c r="X87" s="60"/>
      <c r="Y87" s="36">
        <f>SUM(Y85:Y86)</f>
        <v>0</v>
      </c>
      <c r="Z87" s="34">
        <f>SUM(Z85:Z86)</f>
        <v>0</v>
      </c>
      <c r="AA87" s="60"/>
      <c r="AB87" s="36">
        <f>SUM(AB85:AB86)</f>
        <v>0</v>
      </c>
      <c r="AC87" s="34"/>
      <c r="AD87" s="34"/>
      <c r="AE87" s="37"/>
      <c r="AF87" s="69"/>
      <c r="AG87" s="13"/>
      <c r="AH87" s="13"/>
      <c r="AJ87" s="40">
        <f>T87+W87+Z87</f>
        <v>0</v>
      </c>
    </row>
    <row r="88" spans="1:37" s="42" customFormat="1" ht="29.25" hidden="1" customHeight="1">
      <c r="A88" s="186" t="s">
        <v>110</v>
      </c>
      <c r="B88" s="186"/>
      <c r="C88" s="185"/>
      <c r="D88" s="185"/>
      <c r="E88" s="185"/>
      <c r="F88" s="165"/>
      <c r="G88" s="34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  <c r="U88" s="175"/>
      <c r="V88" s="175"/>
      <c r="W88" s="175"/>
      <c r="X88" s="52"/>
      <c r="Y88" s="173"/>
      <c r="Z88" s="34"/>
      <c r="AA88" s="175"/>
      <c r="AB88" s="173"/>
      <c r="AC88" s="175"/>
      <c r="AD88" s="175"/>
      <c r="AE88" s="47"/>
      <c r="AF88" s="48"/>
      <c r="AG88" s="13"/>
      <c r="AH88" s="13"/>
    </row>
    <row r="89" spans="1:37" s="42" customFormat="1" ht="42.75" hidden="1" customHeight="1">
      <c r="A89" s="58">
        <v>17</v>
      </c>
      <c r="B89" s="170" t="s">
        <v>111</v>
      </c>
      <c r="C89" s="52"/>
      <c r="D89" s="52"/>
      <c r="E89" s="72"/>
      <c r="F89" s="72"/>
      <c r="G89" s="175"/>
      <c r="H89" s="66"/>
      <c r="I89" s="55"/>
      <c r="J89" s="55"/>
      <c r="K89" s="55"/>
      <c r="L89" s="53"/>
      <c r="M89" s="54"/>
      <c r="N89" s="55"/>
      <c r="O89" s="55" t="s">
        <v>31</v>
      </c>
      <c r="P89" s="53"/>
      <c r="Q89" s="54"/>
      <c r="R89" s="55"/>
      <c r="S89" s="55"/>
      <c r="T89" s="171"/>
      <c r="U89" s="175"/>
      <c r="V89" s="175"/>
      <c r="W89" s="72">
        <f>E89</f>
        <v>0</v>
      </c>
      <c r="X89" s="171"/>
      <c r="Y89" s="173">
        <f>G89</f>
        <v>0</v>
      </c>
      <c r="Z89" s="34"/>
      <c r="AA89" s="175"/>
      <c r="AB89" s="173"/>
      <c r="AC89" s="175"/>
      <c r="AD89" s="175"/>
      <c r="AE89" s="47"/>
      <c r="AF89" s="48"/>
      <c r="AG89" s="13"/>
      <c r="AH89" s="13"/>
    </row>
    <row r="90" spans="1:37" s="42" customFormat="1" ht="29.25" hidden="1" customHeight="1">
      <c r="A90" s="198" t="s">
        <v>112</v>
      </c>
      <c r="B90" s="198"/>
      <c r="C90" s="43"/>
      <c r="D90" s="43"/>
      <c r="E90" s="60">
        <f>SUM(E89:E89)</f>
        <v>0</v>
      </c>
      <c r="F90" s="60"/>
      <c r="G90" s="34">
        <f>SUM(G89:G89)</f>
        <v>0</v>
      </c>
      <c r="H90" s="60" t="e">
        <f>SUM(#REF!)</f>
        <v>#REF!</v>
      </c>
      <c r="I90" s="35" t="e">
        <f>SUM(#REF!)</f>
        <v>#REF!</v>
      </c>
      <c r="J90" s="35" t="e">
        <f>SUM(#REF!)</f>
        <v>#REF!</v>
      </c>
      <c r="K90" s="35"/>
      <c r="L90" s="60" t="e">
        <f>SUM(#REF!)</f>
        <v>#REF!</v>
      </c>
      <c r="M90" s="35" t="e">
        <f>SUM(#REF!)</f>
        <v>#REF!</v>
      </c>
      <c r="N90" s="35" t="e">
        <f>SUM(#REF!)</f>
        <v>#REF!</v>
      </c>
      <c r="O90" s="35"/>
      <c r="P90" s="60">
        <f>SUM(P89:P89)</f>
        <v>0</v>
      </c>
      <c r="Q90" s="35">
        <f>SUM(Q89:Q89)</f>
        <v>0</v>
      </c>
      <c r="R90" s="35">
        <f>SUM(R89:R89)</f>
        <v>0</v>
      </c>
      <c r="S90" s="35"/>
      <c r="T90" s="60">
        <f>SUM(T89:T89)</f>
        <v>0</v>
      </c>
      <c r="U90" s="34">
        <f>SUM(U89:U89)</f>
        <v>0</v>
      </c>
      <c r="V90" s="34">
        <f>SUM(V89:V89)</f>
        <v>0</v>
      </c>
      <c r="W90" s="34">
        <f>W89</f>
        <v>0</v>
      </c>
      <c r="X90" s="60"/>
      <c r="Y90" s="36">
        <f>Y89</f>
        <v>0</v>
      </c>
      <c r="Z90" s="34"/>
      <c r="AA90" s="34"/>
      <c r="AB90" s="36"/>
      <c r="AC90" s="34"/>
      <c r="AD90" s="34"/>
      <c r="AE90" s="37"/>
      <c r="AF90" s="69"/>
      <c r="AG90" s="13"/>
      <c r="AH90" s="13"/>
      <c r="AJ90" s="40">
        <f>T90+W90+Z90</f>
        <v>0</v>
      </c>
    </row>
    <row r="91" spans="1:37" s="42" customFormat="1" ht="27" hidden="1" customHeight="1">
      <c r="A91" s="186" t="s">
        <v>113</v>
      </c>
      <c r="B91" s="186"/>
      <c r="C91" s="185"/>
      <c r="D91" s="185"/>
      <c r="E91" s="185"/>
      <c r="F91" s="165"/>
      <c r="G91" s="34"/>
      <c r="H91" s="52"/>
      <c r="I91" s="52"/>
      <c r="J91" s="52"/>
      <c r="K91" s="52"/>
      <c r="L91" s="52"/>
      <c r="M91" s="52"/>
      <c r="N91" s="52"/>
      <c r="O91" s="52"/>
      <c r="P91" s="52"/>
      <c r="Q91" s="52"/>
      <c r="R91" s="52"/>
      <c r="S91" s="52"/>
      <c r="T91" s="52"/>
      <c r="U91" s="175"/>
      <c r="V91" s="175"/>
      <c r="W91" s="175"/>
      <c r="X91" s="52"/>
      <c r="Y91" s="173"/>
      <c r="Z91" s="34"/>
      <c r="AA91" s="175"/>
      <c r="AB91" s="173"/>
      <c r="AC91" s="175"/>
      <c r="AD91" s="175"/>
      <c r="AE91" s="47"/>
      <c r="AF91" s="48"/>
      <c r="AG91" s="13"/>
      <c r="AH91" s="13"/>
    </row>
    <row r="92" spans="1:37" s="42" customFormat="1" ht="73.5" hidden="1" customHeight="1">
      <c r="A92" s="58">
        <v>16</v>
      </c>
      <c r="B92" s="170" t="s">
        <v>114</v>
      </c>
      <c r="C92" s="52"/>
      <c r="D92" s="52"/>
      <c r="E92" s="72"/>
      <c r="F92" s="72"/>
      <c r="G92" s="175"/>
      <c r="H92" s="76"/>
      <c r="I92" s="76"/>
      <c r="J92" s="55"/>
      <c r="K92" s="55"/>
      <c r="L92" s="53"/>
      <c r="M92" s="54"/>
      <c r="N92" s="55"/>
      <c r="O92" s="55"/>
      <c r="P92" s="53"/>
      <c r="Q92" s="54"/>
      <c r="R92" s="55"/>
      <c r="S92" s="55"/>
      <c r="T92" s="171"/>
      <c r="U92" s="175"/>
      <c r="V92" s="175"/>
      <c r="W92" s="72"/>
      <c r="X92" s="171"/>
      <c r="Y92" s="173"/>
      <c r="Z92" s="34"/>
      <c r="AA92" s="175"/>
      <c r="AB92" s="173"/>
      <c r="AC92" s="175"/>
      <c r="AD92" s="175"/>
      <c r="AE92" s="47"/>
      <c r="AF92" s="48"/>
      <c r="AG92" s="13"/>
      <c r="AH92" s="13"/>
    </row>
    <row r="93" spans="1:37" s="42" customFormat="1" ht="30.75" hidden="1" customHeight="1">
      <c r="A93" s="198" t="s">
        <v>115</v>
      </c>
      <c r="B93" s="198"/>
      <c r="C93" s="43"/>
      <c r="D93" s="43"/>
      <c r="E93" s="60">
        <f>E92</f>
        <v>0</v>
      </c>
      <c r="F93" s="60"/>
      <c r="G93" s="34">
        <f>G92</f>
        <v>0</v>
      </c>
      <c r="H93" s="60"/>
      <c r="I93" s="35"/>
      <c r="J93" s="35"/>
      <c r="K93" s="35"/>
      <c r="L93" s="60"/>
      <c r="M93" s="35"/>
      <c r="N93" s="35"/>
      <c r="O93" s="35"/>
      <c r="P93" s="60"/>
      <c r="Q93" s="35"/>
      <c r="R93" s="35"/>
      <c r="S93" s="35"/>
      <c r="T93" s="60"/>
      <c r="U93" s="34"/>
      <c r="V93" s="34"/>
      <c r="W93" s="60">
        <f>W92</f>
        <v>0</v>
      </c>
      <c r="X93" s="60"/>
      <c r="Y93" s="36">
        <f>Y92</f>
        <v>0</v>
      </c>
      <c r="Z93" s="34"/>
      <c r="AA93" s="34"/>
      <c r="AB93" s="36"/>
      <c r="AC93" s="34"/>
      <c r="AD93" s="34"/>
      <c r="AE93" s="37"/>
      <c r="AF93" s="69"/>
      <c r="AG93" s="13"/>
      <c r="AH93" s="13"/>
      <c r="AJ93" s="40">
        <f>T93+W93+Z93</f>
        <v>0</v>
      </c>
    </row>
    <row r="94" spans="1:37" s="42" customFormat="1" ht="28.5" customHeight="1">
      <c r="A94" s="186" t="s">
        <v>116</v>
      </c>
      <c r="B94" s="186"/>
      <c r="C94" s="185"/>
      <c r="D94" s="185"/>
      <c r="E94" s="185"/>
      <c r="F94" s="165"/>
      <c r="G94" s="34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175"/>
      <c r="V94" s="175"/>
      <c r="W94" s="175"/>
      <c r="X94" s="52"/>
      <c r="Y94" s="173"/>
      <c r="Z94" s="34"/>
      <c r="AA94" s="175"/>
      <c r="AB94" s="173"/>
      <c r="AC94" s="175"/>
      <c r="AD94" s="175"/>
      <c r="AE94" s="47"/>
      <c r="AF94" s="48"/>
      <c r="AG94" s="13"/>
      <c r="AH94" s="13"/>
    </row>
    <row r="95" spans="1:37" s="42" customFormat="1" ht="56.25" hidden="1" customHeight="1">
      <c r="A95" s="58">
        <v>56</v>
      </c>
      <c r="B95" s="170" t="s">
        <v>117</v>
      </c>
      <c r="C95" s="52" t="s">
        <v>30</v>
      </c>
      <c r="D95" s="52"/>
      <c r="E95" s="72"/>
      <c r="F95" s="72"/>
      <c r="G95" s="175"/>
      <c r="H95" s="66"/>
      <c r="I95" s="55"/>
      <c r="J95" s="55"/>
      <c r="K95" s="55"/>
      <c r="L95" s="171"/>
      <c r="M95" s="55"/>
      <c r="N95" s="55"/>
      <c r="O95" s="55"/>
      <c r="P95" s="171" t="s">
        <v>31</v>
      </c>
      <c r="Q95" s="55" t="s">
        <v>31</v>
      </c>
      <c r="R95" s="55"/>
      <c r="S95" s="55"/>
      <c r="T95" s="171"/>
      <c r="U95" s="175"/>
      <c r="V95" s="175"/>
      <c r="W95" s="175"/>
      <c r="X95" s="171"/>
      <c r="Y95" s="173"/>
      <c r="Z95" s="34"/>
      <c r="AA95" s="175"/>
      <c r="AB95" s="173"/>
      <c r="AC95" s="175"/>
      <c r="AD95" s="175"/>
      <c r="AE95" s="47"/>
      <c r="AF95" s="48"/>
      <c r="AG95" s="13"/>
      <c r="AH95" s="13"/>
    </row>
    <row r="96" spans="1:37" s="42" customFormat="1" ht="62.25" customHeight="1">
      <c r="A96" s="169">
        <v>19</v>
      </c>
      <c r="B96" s="170" t="s">
        <v>118</v>
      </c>
      <c r="C96" s="52" t="s">
        <v>30</v>
      </c>
      <c r="D96" s="52"/>
      <c r="E96" s="72">
        <v>9.5</v>
      </c>
      <c r="F96" s="72"/>
      <c r="G96" s="175">
        <v>235820.76863000001</v>
      </c>
      <c r="H96" s="66"/>
      <c r="I96" s="55"/>
      <c r="J96" s="55"/>
      <c r="K96" s="55"/>
      <c r="L96" s="171"/>
      <c r="M96" s="55"/>
      <c r="N96" s="55"/>
      <c r="O96" s="55"/>
      <c r="P96" s="171" t="s">
        <v>31</v>
      </c>
      <c r="Q96" s="55"/>
      <c r="R96" s="55"/>
      <c r="S96" s="55"/>
      <c r="T96" s="171">
        <f>E96</f>
        <v>9.5</v>
      </c>
      <c r="U96" s="175"/>
      <c r="V96" s="175">
        <v>35333.852140000003</v>
      </c>
      <c r="W96" s="175"/>
      <c r="X96" s="171"/>
      <c r="Y96" s="73"/>
      <c r="Z96" s="34"/>
      <c r="AA96" s="175"/>
      <c r="AB96" s="173"/>
      <c r="AC96" s="175"/>
      <c r="AD96" s="175"/>
      <c r="AE96" s="47"/>
      <c r="AF96" s="48"/>
      <c r="AG96" s="13"/>
      <c r="AH96" s="13"/>
      <c r="AK96" s="41">
        <f>G96-V96</f>
        <v>200486.91649</v>
      </c>
    </row>
    <row r="97" spans="1:40" s="42" customFormat="1" ht="53.25" hidden="1" customHeight="1">
      <c r="A97" s="169"/>
      <c r="B97" s="170" t="s">
        <v>119</v>
      </c>
      <c r="C97" s="52"/>
      <c r="D97" s="52"/>
      <c r="E97" s="72"/>
      <c r="F97" s="72"/>
      <c r="G97" s="175"/>
      <c r="H97" s="66"/>
      <c r="I97" s="55"/>
      <c r="J97" s="55"/>
      <c r="K97" s="55"/>
      <c r="L97" s="171"/>
      <c r="M97" s="55"/>
      <c r="N97" s="55"/>
      <c r="O97" s="55"/>
      <c r="P97" s="171"/>
      <c r="Q97" s="55"/>
      <c r="R97" s="55"/>
      <c r="S97" s="55"/>
      <c r="T97" s="171"/>
      <c r="U97" s="175"/>
      <c r="V97" s="56"/>
      <c r="W97" s="171"/>
      <c r="X97" s="171"/>
      <c r="Y97" s="73"/>
      <c r="Z97" s="34"/>
      <c r="AA97" s="175"/>
      <c r="AB97" s="173"/>
      <c r="AC97" s="175"/>
      <c r="AD97" s="175"/>
      <c r="AE97" s="47"/>
      <c r="AF97" s="48"/>
      <c r="AG97" s="13"/>
      <c r="AH97" s="13"/>
    </row>
    <row r="98" spans="1:40" s="42" customFormat="1" ht="33" customHeight="1">
      <c r="A98" s="169">
        <v>20</v>
      </c>
      <c r="B98" s="75" t="s">
        <v>120</v>
      </c>
      <c r="C98" s="52" t="s">
        <v>30</v>
      </c>
      <c r="D98" s="52"/>
      <c r="E98" s="66">
        <v>7.6</v>
      </c>
      <c r="F98" s="66"/>
      <c r="G98" s="175">
        <v>200815.57909000001</v>
      </c>
      <c r="H98" s="66"/>
      <c r="I98" s="55"/>
      <c r="J98" s="55"/>
      <c r="K98" s="55"/>
      <c r="L98" s="171"/>
      <c r="M98" s="55"/>
      <c r="N98" s="55"/>
      <c r="O98" s="55"/>
      <c r="P98" s="171"/>
      <c r="Q98" s="55"/>
      <c r="R98" s="55"/>
      <c r="S98" s="55"/>
      <c r="T98" s="171"/>
      <c r="U98" s="175"/>
      <c r="V98" s="175"/>
      <c r="W98" s="66">
        <f>E98</f>
        <v>7.6</v>
      </c>
      <c r="X98" s="171"/>
      <c r="Y98" s="173">
        <f>G98</f>
        <v>200815.57909000001</v>
      </c>
      <c r="Z98" s="171"/>
      <c r="AA98" s="175"/>
      <c r="AB98" s="173"/>
      <c r="AC98" s="175"/>
      <c r="AD98" s="175"/>
      <c r="AE98" s="47"/>
      <c r="AF98" s="48"/>
      <c r="AG98" s="13"/>
      <c r="AH98" s="13"/>
    </row>
    <row r="99" spans="1:40" s="42" customFormat="1" ht="47.25" customHeight="1">
      <c r="A99" s="169">
        <v>21</v>
      </c>
      <c r="B99" s="75" t="s">
        <v>121</v>
      </c>
      <c r="C99" s="52" t="s">
        <v>55</v>
      </c>
      <c r="D99" s="52"/>
      <c r="E99" s="66">
        <v>0.7</v>
      </c>
      <c r="F99" s="66"/>
      <c r="G99" s="65">
        <f>E99*30000+300</f>
        <v>21300</v>
      </c>
      <c r="H99" s="66"/>
      <c r="I99" s="55"/>
      <c r="J99" s="55"/>
      <c r="K99" s="55"/>
      <c r="L99" s="171"/>
      <c r="M99" s="55"/>
      <c r="N99" s="55"/>
      <c r="O99" s="55"/>
      <c r="P99" s="171"/>
      <c r="Q99" s="55"/>
      <c r="R99" s="55"/>
      <c r="S99" s="55"/>
      <c r="T99" s="171"/>
      <c r="U99" s="175"/>
      <c r="V99" s="175"/>
      <c r="W99" s="66"/>
      <c r="X99" s="171"/>
      <c r="Y99" s="173"/>
      <c r="Z99" s="171">
        <f>E99</f>
        <v>0.7</v>
      </c>
      <c r="AA99" s="175"/>
      <c r="AB99" s="173">
        <f>G99</f>
        <v>21300</v>
      </c>
      <c r="AC99" s="175"/>
      <c r="AD99" s="175"/>
      <c r="AE99" s="47"/>
      <c r="AF99" s="48"/>
      <c r="AG99" s="13"/>
      <c r="AH99" s="182" t="s">
        <v>34</v>
      </c>
    </row>
    <row r="100" spans="1:40" s="42" customFormat="1" ht="65.25" customHeight="1">
      <c r="A100" s="169">
        <v>22</v>
      </c>
      <c r="B100" s="170" t="s">
        <v>202</v>
      </c>
      <c r="C100" s="52" t="s">
        <v>30</v>
      </c>
      <c r="D100" s="52"/>
      <c r="E100" s="66">
        <v>1.7</v>
      </c>
      <c r="F100" s="66"/>
      <c r="G100" s="65">
        <f>E100*30000-11000</f>
        <v>40000</v>
      </c>
      <c r="H100" s="66"/>
      <c r="I100" s="55"/>
      <c r="J100" s="55"/>
      <c r="K100" s="55"/>
      <c r="L100" s="171"/>
      <c r="M100" s="55"/>
      <c r="N100" s="55"/>
      <c r="O100" s="55"/>
      <c r="P100" s="171"/>
      <c r="Q100" s="55"/>
      <c r="R100" s="55"/>
      <c r="S100" s="55"/>
      <c r="T100" s="171"/>
      <c r="U100" s="175"/>
      <c r="V100" s="175"/>
      <c r="W100" s="66"/>
      <c r="X100" s="171"/>
      <c r="Y100" s="173"/>
      <c r="Z100" s="171">
        <f>E100</f>
        <v>1.7</v>
      </c>
      <c r="AA100" s="175"/>
      <c r="AB100" s="173">
        <f>G100</f>
        <v>40000</v>
      </c>
      <c r="AC100" s="175"/>
      <c r="AD100" s="175"/>
      <c r="AE100" s="47"/>
      <c r="AF100" s="48"/>
      <c r="AG100" s="13"/>
      <c r="AH100" s="182" t="s">
        <v>133</v>
      </c>
    </row>
    <row r="101" spans="1:40" s="42" customFormat="1" ht="28.5" customHeight="1">
      <c r="A101" s="198" t="s">
        <v>122</v>
      </c>
      <c r="B101" s="198"/>
      <c r="C101" s="198"/>
      <c r="D101" s="43"/>
      <c r="E101" s="60">
        <f>SUM(E96:E100)</f>
        <v>19.5</v>
      </c>
      <c r="F101" s="60"/>
      <c r="G101" s="34">
        <f>SUM(G96:G100)</f>
        <v>497936.34772000002</v>
      </c>
      <c r="H101" s="60">
        <f>SUM(H95:H96)</f>
        <v>0</v>
      </c>
      <c r="I101" s="35">
        <f>SUM(I95:I96)</f>
        <v>0</v>
      </c>
      <c r="J101" s="35">
        <f>SUM(J95:J96)</f>
        <v>0</v>
      </c>
      <c r="K101" s="35"/>
      <c r="L101" s="60">
        <f>SUM(L95:L96)</f>
        <v>0</v>
      </c>
      <c r="M101" s="35">
        <f>SUM(M95:M96)</f>
        <v>0</v>
      </c>
      <c r="N101" s="35">
        <f>SUM(N95:N96)</f>
        <v>0</v>
      </c>
      <c r="O101" s="35"/>
      <c r="P101" s="60">
        <f t="shared" ref="P101:V101" si="2">SUM(P95:P96)</f>
        <v>0</v>
      </c>
      <c r="Q101" s="35">
        <f t="shared" si="2"/>
        <v>0</v>
      </c>
      <c r="R101" s="35">
        <f t="shared" si="2"/>
        <v>0</v>
      </c>
      <c r="S101" s="35">
        <f t="shared" si="2"/>
        <v>0</v>
      </c>
      <c r="T101" s="60">
        <f t="shared" si="2"/>
        <v>9.5</v>
      </c>
      <c r="U101" s="34">
        <f t="shared" si="2"/>
        <v>0</v>
      </c>
      <c r="V101" s="34">
        <f t="shared" si="2"/>
        <v>35333.852140000003</v>
      </c>
      <c r="W101" s="34">
        <f>SUM(W97:W98)</f>
        <v>7.6</v>
      </c>
      <c r="X101" s="60"/>
      <c r="Y101" s="36">
        <f>SUM(Y97:Y98)</f>
        <v>200815.57909000001</v>
      </c>
      <c r="Z101" s="34">
        <f>SUM(Z99:Z100)</f>
        <v>2.4</v>
      </c>
      <c r="AA101" s="60"/>
      <c r="AB101" s="36">
        <f>SUM(AB99:AB100)</f>
        <v>61300</v>
      </c>
      <c r="AC101" s="34"/>
      <c r="AD101" s="34"/>
      <c r="AE101" s="37"/>
      <c r="AF101" s="69"/>
      <c r="AG101" s="13"/>
      <c r="AH101" s="13"/>
      <c r="AJ101" s="40">
        <f>T101+W101+Z101</f>
        <v>19.5</v>
      </c>
    </row>
    <row r="102" spans="1:40" s="42" customFormat="1" ht="29.25" customHeight="1">
      <c r="A102" s="186" t="s">
        <v>123</v>
      </c>
      <c r="B102" s="186"/>
      <c r="C102" s="185"/>
      <c r="D102" s="185"/>
      <c r="E102" s="185"/>
      <c r="F102" s="165"/>
      <c r="G102" s="34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  <c r="T102" s="52"/>
      <c r="U102" s="175"/>
      <c r="V102" s="175"/>
      <c r="W102" s="175"/>
      <c r="X102" s="52"/>
      <c r="Y102" s="173"/>
      <c r="Z102" s="34"/>
      <c r="AA102" s="175"/>
      <c r="AB102" s="173"/>
      <c r="AC102" s="175"/>
      <c r="AD102" s="175"/>
      <c r="AE102" s="47"/>
      <c r="AF102" s="48"/>
      <c r="AG102" s="13"/>
      <c r="AH102" s="13"/>
    </row>
    <row r="103" spans="1:40" s="42" customFormat="1" ht="53.25" hidden="1" customHeight="1">
      <c r="A103" s="58">
        <v>55</v>
      </c>
      <c r="B103" s="170" t="s">
        <v>124</v>
      </c>
      <c r="C103" s="52" t="s">
        <v>30</v>
      </c>
      <c r="D103" s="52"/>
      <c r="E103" s="72"/>
      <c r="F103" s="72"/>
      <c r="G103" s="175"/>
      <c r="H103" s="66"/>
      <c r="I103" s="55"/>
      <c r="J103" s="55"/>
      <c r="K103" s="55"/>
      <c r="L103" s="53"/>
      <c r="M103" s="54"/>
      <c r="N103" s="55"/>
      <c r="O103" s="55"/>
      <c r="P103" s="171"/>
      <c r="Q103" s="55"/>
      <c r="R103" s="55"/>
      <c r="S103" s="55"/>
      <c r="T103" s="171"/>
      <c r="U103" s="175"/>
      <c r="V103" s="175"/>
      <c r="W103" s="175"/>
      <c r="X103" s="171"/>
      <c r="Y103" s="173"/>
      <c r="Z103" s="34"/>
      <c r="AA103" s="175"/>
      <c r="AB103" s="173"/>
      <c r="AC103" s="175"/>
      <c r="AD103" s="175"/>
      <c r="AE103" s="47"/>
      <c r="AF103" s="48"/>
      <c r="AG103" s="13"/>
      <c r="AH103" s="13"/>
    </row>
    <row r="104" spans="1:40" s="42" customFormat="1" ht="45" customHeight="1">
      <c r="A104" s="169">
        <v>23</v>
      </c>
      <c r="B104" s="170" t="s">
        <v>125</v>
      </c>
      <c r="C104" s="52" t="s">
        <v>30</v>
      </c>
      <c r="D104" s="52"/>
      <c r="E104" s="72">
        <v>11.4</v>
      </c>
      <c r="F104" s="72"/>
      <c r="G104" s="175">
        <v>393384.93049</v>
      </c>
      <c r="H104" s="66"/>
      <c r="I104" s="55"/>
      <c r="J104" s="55"/>
      <c r="K104" s="55"/>
      <c r="L104" s="53"/>
      <c r="M104" s="54"/>
      <c r="N104" s="55"/>
      <c r="O104" s="55"/>
      <c r="P104" s="171"/>
      <c r="Q104" s="55"/>
      <c r="R104" s="55"/>
      <c r="S104" s="55"/>
      <c r="T104" s="171">
        <f>E104</f>
        <v>11.4</v>
      </c>
      <c r="U104" s="175"/>
      <c r="V104" s="175">
        <v>80834.538799999995</v>
      </c>
      <c r="W104" s="175"/>
      <c r="X104" s="171"/>
      <c r="Y104" s="73"/>
      <c r="Z104" s="34"/>
      <c r="AA104" s="175"/>
      <c r="AB104" s="173"/>
      <c r="AC104" s="175"/>
      <c r="AD104" s="175"/>
      <c r="AE104" s="47"/>
      <c r="AF104" s="48"/>
      <c r="AG104" s="13"/>
      <c r="AH104" s="13"/>
      <c r="AK104" s="41">
        <f>G104-V104</f>
        <v>312550.39169000002</v>
      </c>
    </row>
    <row r="105" spans="1:40" s="42" customFormat="1" ht="45.75" customHeight="1">
      <c r="A105" s="169">
        <v>24</v>
      </c>
      <c r="B105" s="170" t="s">
        <v>126</v>
      </c>
      <c r="C105" s="52" t="s">
        <v>30</v>
      </c>
      <c r="D105" s="52"/>
      <c r="E105" s="72">
        <f>5.6-0.13</f>
        <v>5.47</v>
      </c>
      <c r="F105" s="72"/>
      <c r="G105" s="175">
        <v>152860.20000000001</v>
      </c>
      <c r="H105" s="66"/>
      <c r="I105" s="55"/>
      <c r="J105" s="55"/>
      <c r="K105" s="55"/>
      <c r="L105" s="53"/>
      <c r="M105" s="54"/>
      <c r="N105" s="55"/>
      <c r="O105" s="55"/>
      <c r="P105" s="171"/>
      <c r="Q105" s="55"/>
      <c r="R105" s="55"/>
      <c r="S105" s="55"/>
      <c r="T105" s="171">
        <f>E105</f>
        <v>5.47</v>
      </c>
      <c r="U105" s="175"/>
      <c r="V105" s="175">
        <f>G105</f>
        <v>152860.20000000001</v>
      </c>
      <c r="W105" s="175"/>
      <c r="X105" s="171"/>
      <c r="Y105" s="173"/>
      <c r="Z105" s="34"/>
      <c r="AA105" s="175"/>
      <c r="AB105" s="173"/>
      <c r="AC105" s="175"/>
      <c r="AD105" s="175"/>
      <c r="AE105" s="47"/>
      <c r="AF105" s="48"/>
      <c r="AG105" s="13"/>
      <c r="AH105" s="13"/>
      <c r="AN105" s="42" t="s">
        <v>34</v>
      </c>
    </row>
    <row r="106" spans="1:40" s="42" customFormat="1" ht="91.5" customHeight="1">
      <c r="A106" s="169">
        <v>25</v>
      </c>
      <c r="B106" s="181" t="s">
        <v>205</v>
      </c>
      <c r="C106" s="52" t="s">
        <v>42</v>
      </c>
      <c r="D106" s="52"/>
      <c r="E106" s="72">
        <f>W106+Z106</f>
        <v>11.228000000000002</v>
      </c>
      <c r="F106" s="72"/>
      <c r="G106" s="175">
        <f>Y106+AB106</f>
        <v>850610.10450000002</v>
      </c>
      <c r="H106" s="66"/>
      <c r="I106" s="55"/>
      <c r="J106" s="55"/>
      <c r="K106" s="55"/>
      <c r="L106" s="53"/>
      <c r="M106" s="54"/>
      <c r="N106" s="55"/>
      <c r="O106" s="55"/>
      <c r="P106" s="171"/>
      <c r="Q106" s="55"/>
      <c r="R106" s="55"/>
      <c r="S106" s="55"/>
      <c r="T106" s="171"/>
      <c r="U106" s="175"/>
      <c r="V106" s="175"/>
      <c r="W106" s="171">
        <v>7.5149999999999997</v>
      </c>
      <c r="X106" s="171"/>
      <c r="Y106" s="175">
        <f>559717.1045-5000</f>
        <v>554717.10450000002</v>
      </c>
      <c r="Z106" s="180">
        <f>(22.91-21.515)+(25.356-23.038)</f>
        <v>3.713000000000001</v>
      </c>
      <c r="AA106" s="171"/>
      <c r="AB106" s="175">
        <f>293193-300+3000</f>
        <v>295893</v>
      </c>
      <c r="AC106" s="175"/>
      <c r="AD106" s="175"/>
      <c r="AE106" s="47"/>
      <c r="AF106" s="48">
        <f>Y106/W106</f>
        <v>73814.651297405202</v>
      </c>
      <c r="AG106" s="48">
        <f>AB106/Z106</f>
        <v>79691.085375706956</v>
      </c>
      <c r="AH106" s="13"/>
    </row>
    <row r="107" spans="1:40" s="42" customFormat="1" ht="68.25" hidden="1" customHeight="1">
      <c r="A107" s="169"/>
      <c r="B107" s="170" t="s">
        <v>127</v>
      </c>
      <c r="C107" s="52" t="s">
        <v>30</v>
      </c>
      <c r="D107" s="52"/>
      <c r="E107" s="72"/>
      <c r="F107" s="72"/>
      <c r="G107" s="175"/>
      <c r="H107" s="66"/>
      <c r="I107" s="55"/>
      <c r="J107" s="55"/>
      <c r="K107" s="55"/>
      <c r="L107" s="53"/>
      <c r="M107" s="54"/>
      <c r="N107" s="55"/>
      <c r="O107" s="55"/>
      <c r="P107" s="171"/>
      <c r="Q107" s="55"/>
      <c r="R107" s="55"/>
      <c r="S107" s="55"/>
      <c r="T107" s="171"/>
      <c r="U107" s="175"/>
      <c r="V107" s="175"/>
      <c r="W107" s="171"/>
      <c r="X107" s="171"/>
      <c r="Y107" s="173"/>
      <c r="Z107" s="34"/>
      <c r="AA107" s="175"/>
      <c r="AB107" s="173"/>
      <c r="AC107" s="175"/>
      <c r="AD107" s="175"/>
      <c r="AE107" s="47"/>
      <c r="AF107" s="48"/>
      <c r="AG107" s="13"/>
      <c r="AH107" s="13"/>
    </row>
    <row r="108" spans="1:40" s="42" customFormat="1" ht="45" hidden="1" customHeight="1">
      <c r="A108" s="169"/>
      <c r="B108" s="170" t="s">
        <v>128</v>
      </c>
      <c r="C108" s="52" t="s">
        <v>30</v>
      </c>
      <c r="D108" s="52"/>
      <c r="E108" s="72"/>
      <c r="F108" s="72"/>
      <c r="G108" s="175"/>
      <c r="H108" s="66"/>
      <c r="I108" s="55"/>
      <c r="J108" s="55"/>
      <c r="K108" s="55"/>
      <c r="L108" s="53"/>
      <c r="M108" s="54"/>
      <c r="N108" s="55"/>
      <c r="O108" s="55"/>
      <c r="P108" s="171"/>
      <c r="Q108" s="55"/>
      <c r="R108" s="55"/>
      <c r="S108" s="55"/>
      <c r="T108" s="171"/>
      <c r="U108" s="175"/>
      <c r="V108" s="175"/>
      <c r="W108" s="171"/>
      <c r="X108" s="171"/>
      <c r="Y108" s="173"/>
      <c r="Z108" s="171"/>
      <c r="AA108" s="175"/>
      <c r="AB108" s="173"/>
      <c r="AC108" s="175"/>
      <c r="AD108" s="175"/>
      <c r="AE108" s="47"/>
      <c r="AF108" s="48"/>
      <c r="AG108" s="13"/>
      <c r="AH108" s="13"/>
    </row>
    <row r="109" spans="1:40" s="42" customFormat="1" ht="43.5" hidden="1" customHeight="1">
      <c r="A109" s="169"/>
      <c r="B109" s="170" t="s">
        <v>129</v>
      </c>
      <c r="C109" s="52" t="s">
        <v>30</v>
      </c>
      <c r="D109" s="52"/>
      <c r="E109" s="72"/>
      <c r="F109" s="72"/>
      <c r="G109" s="175"/>
      <c r="H109" s="66"/>
      <c r="I109" s="55"/>
      <c r="J109" s="55"/>
      <c r="K109" s="55"/>
      <c r="L109" s="53"/>
      <c r="M109" s="54"/>
      <c r="N109" s="55"/>
      <c r="O109" s="55"/>
      <c r="P109" s="171"/>
      <c r="Q109" s="55"/>
      <c r="R109" s="55"/>
      <c r="S109" s="55"/>
      <c r="T109" s="171"/>
      <c r="U109" s="175"/>
      <c r="V109" s="175"/>
      <c r="W109" s="171"/>
      <c r="X109" s="171"/>
      <c r="Y109" s="173"/>
      <c r="Z109" s="34"/>
      <c r="AA109" s="175"/>
      <c r="AB109" s="173"/>
      <c r="AC109" s="175"/>
      <c r="AD109" s="175"/>
      <c r="AE109" s="47"/>
      <c r="AF109" s="48"/>
      <c r="AG109" s="13"/>
      <c r="AH109" s="13"/>
    </row>
    <row r="110" spans="1:40" s="42" customFormat="1" ht="44.25" customHeight="1">
      <c r="A110" s="169">
        <v>26</v>
      </c>
      <c r="B110" s="179" t="s">
        <v>204</v>
      </c>
      <c r="C110" s="52" t="s">
        <v>30</v>
      </c>
      <c r="D110" s="52"/>
      <c r="E110" s="72">
        <v>6</v>
      </c>
      <c r="F110" s="72"/>
      <c r="G110" s="175">
        <f>E110*30000+5000+3000</f>
        <v>188000</v>
      </c>
      <c r="H110" s="66"/>
      <c r="I110" s="55"/>
      <c r="J110" s="55"/>
      <c r="K110" s="55"/>
      <c r="L110" s="53"/>
      <c r="M110" s="54"/>
      <c r="N110" s="55"/>
      <c r="O110" s="55"/>
      <c r="P110" s="171"/>
      <c r="Q110" s="55"/>
      <c r="R110" s="55"/>
      <c r="S110" s="55"/>
      <c r="T110" s="171"/>
      <c r="U110" s="175"/>
      <c r="V110" s="175"/>
      <c r="W110" s="171"/>
      <c r="X110" s="171"/>
      <c r="Y110" s="173"/>
      <c r="Z110" s="171">
        <f>E110</f>
        <v>6</v>
      </c>
      <c r="AA110" s="171"/>
      <c r="AB110" s="173">
        <f>G110</f>
        <v>188000</v>
      </c>
      <c r="AC110" s="175"/>
      <c r="AD110" s="175"/>
      <c r="AE110" s="47"/>
      <c r="AF110" s="48"/>
      <c r="AG110" s="13"/>
      <c r="AH110" s="13"/>
    </row>
    <row r="111" spans="1:40" s="42" customFormat="1" ht="33" customHeight="1">
      <c r="A111" s="198" t="s">
        <v>130</v>
      </c>
      <c r="B111" s="198"/>
      <c r="C111" s="198"/>
      <c r="D111" s="59"/>
      <c r="E111" s="34">
        <f>SUM(E104:E110)</f>
        <v>34.097999999999999</v>
      </c>
      <c r="F111" s="34"/>
      <c r="G111" s="34">
        <f>SUM(G104:G110)</f>
        <v>1584855.23499</v>
      </c>
      <c r="H111" s="60" t="e">
        <f>SUM(#REF!)</f>
        <v>#REF!</v>
      </c>
      <c r="I111" s="35" t="e">
        <f>SUM(#REF!)</f>
        <v>#REF!</v>
      </c>
      <c r="J111" s="35" t="e">
        <f>SUM(#REF!)</f>
        <v>#REF!</v>
      </c>
      <c r="K111" s="35"/>
      <c r="L111" s="60" t="e">
        <f>SUM(#REF!)</f>
        <v>#REF!</v>
      </c>
      <c r="M111" s="35" t="e">
        <f>SUM(#REF!)</f>
        <v>#REF!</v>
      </c>
      <c r="N111" s="35" t="e">
        <f>SUM(#REF!)</f>
        <v>#REF!</v>
      </c>
      <c r="O111" s="35" t="e">
        <f>SUM(#REF!)</f>
        <v>#REF!</v>
      </c>
      <c r="P111" s="34">
        <f>SUM(P103:P106)</f>
        <v>0</v>
      </c>
      <c r="Q111" s="35">
        <f>SUM(Q103:Q106)</f>
        <v>0</v>
      </c>
      <c r="R111" s="35">
        <f>SUM(R103:R106)</f>
        <v>0</v>
      </c>
      <c r="S111" s="35">
        <f>SUM(S103:S106)</f>
        <v>0</v>
      </c>
      <c r="T111" s="34">
        <f>SUM(T104:T107)</f>
        <v>16.87</v>
      </c>
      <c r="U111" s="34"/>
      <c r="V111" s="34">
        <f>SUM(V104:V107)</f>
        <v>233694.73879999999</v>
      </c>
      <c r="W111" s="36">
        <f>SUM(W104:W110)</f>
        <v>7.5149999999999997</v>
      </c>
      <c r="X111" s="34"/>
      <c r="Y111" s="36">
        <f>SUM(Y104:Y110)</f>
        <v>554717.10450000002</v>
      </c>
      <c r="Z111" s="34">
        <f>SUM(Z106:Z110)</f>
        <v>9.713000000000001</v>
      </c>
      <c r="AA111" s="34"/>
      <c r="AB111" s="36">
        <f>SUM(AB106:AB110)</f>
        <v>483893</v>
      </c>
      <c r="AC111" s="34"/>
      <c r="AD111" s="34"/>
      <c r="AE111" s="37"/>
      <c r="AF111" s="69"/>
      <c r="AG111" s="13"/>
      <c r="AH111" s="13"/>
      <c r="AJ111" s="40">
        <f>T111+W111+Z111</f>
        <v>34.097999999999999</v>
      </c>
    </row>
    <row r="112" spans="1:40" s="42" customFormat="1" ht="30.75" customHeight="1">
      <c r="A112" s="186" t="s">
        <v>131</v>
      </c>
      <c r="B112" s="186"/>
      <c r="C112" s="185"/>
      <c r="D112" s="185"/>
      <c r="E112" s="185"/>
      <c r="F112" s="165"/>
      <c r="G112" s="34"/>
      <c r="H112" s="52"/>
      <c r="I112" s="52"/>
      <c r="J112" s="52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175"/>
      <c r="V112" s="175"/>
      <c r="W112" s="175"/>
      <c r="X112" s="52"/>
      <c r="Y112" s="173"/>
      <c r="Z112" s="34"/>
      <c r="AA112" s="175"/>
      <c r="AB112" s="173"/>
      <c r="AC112" s="175"/>
      <c r="AD112" s="175"/>
      <c r="AE112" s="47"/>
      <c r="AF112" s="48"/>
      <c r="AG112" s="13"/>
      <c r="AH112" s="13"/>
    </row>
    <row r="113" spans="1:43" s="42" customFormat="1" ht="24.75" customHeight="1">
      <c r="A113" s="206">
        <v>27</v>
      </c>
      <c r="B113" s="207" t="s">
        <v>132</v>
      </c>
      <c r="C113" s="52" t="s">
        <v>30</v>
      </c>
      <c r="D113" s="52"/>
      <c r="E113" s="171">
        <v>6.6</v>
      </c>
      <c r="F113" s="212"/>
      <c r="G113" s="212">
        <v>207162.16931999999</v>
      </c>
      <c r="H113" s="66"/>
      <c r="I113" s="55"/>
      <c r="J113" s="55"/>
      <c r="K113" s="55"/>
      <c r="L113" s="53"/>
      <c r="M113" s="54"/>
      <c r="N113" s="55"/>
      <c r="O113" s="55"/>
      <c r="P113" s="53"/>
      <c r="Q113" s="54"/>
      <c r="R113" s="55"/>
      <c r="S113" s="55"/>
      <c r="T113" s="208">
        <f>E113+E114</f>
        <v>7.8999999999999995</v>
      </c>
      <c r="U113" s="208"/>
      <c r="V113" s="212">
        <v>77152.088969999997</v>
      </c>
      <c r="W113" s="208"/>
      <c r="X113" s="208"/>
      <c r="Y113" s="210"/>
      <c r="Z113" s="208"/>
      <c r="AA113" s="208"/>
      <c r="AB113" s="211"/>
      <c r="AC113" s="210"/>
      <c r="AD113" s="208"/>
      <c r="AE113" s="209"/>
      <c r="AF113" s="77"/>
      <c r="AG113" s="13"/>
      <c r="AH113" s="13"/>
      <c r="AK113" s="41">
        <f>G113-V113</f>
        <v>130010.08034999999</v>
      </c>
    </row>
    <row r="114" spans="1:43" s="42" customFormat="1" ht="29.25" customHeight="1">
      <c r="A114" s="206"/>
      <c r="B114" s="207"/>
      <c r="C114" s="52" t="s">
        <v>55</v>
      </c>
      <c r="D114" s="52"/>
      <c r="E114" s="171">
        <v>1.3</v>
      </c>
      <c r="F114" s="212"/>
      <c r="G114" s="212"/>
      <c r="H114" s="66"/>
      <c r="I114" s="55"/>
      <c r="J114" s="55"/>
      <c r="K114" s="55"/>
      <c r="L114" s="53"/>
      <c r="M114" s="54"/>
      <c r="N114" s="55"/>
      <c r="O114" s="55"/>
      <c r="P114" s="53"/>
      <c r="Q114" s="54"/>
      <c r="R114" s="55"/>
      <c r="S114" s="55"/>
      <c r="T114" s="208"/>
      <c r="U114" s="208"/>
      <c r="V114" s="212"/>
      <c r="W114" s="208"/>
      <c r="X114" s="208"/>
      <c r="Y114" s="210"/>
      <c r="Z114" s="208"/>
      <c r="AA114" s="208"/>
      <c r="AB114" s="211"/>
      <c r="AC114" s="210"/>
      <c r="AD114" s="208"/>
      <c r="AE114" s="209"/>
      <c r="AF114" s="77"/>
      <c r="AG114" s="13"/>
      <c r="AH114" s="13"/>
      <c r="AM114" s="42" t="s">
        <v>133</v>
      </c>
    </row>
    <row r="115" spans="1:43" s="42" customFormat="1" ht="44.25" customHeight="1">
      <c r="A115" s="169">
        <v>28</v>
      </c>
      <c r="B115" s="78" t="s">
        <v>134</v>
      </c>
      <c r="C115" s="52" t="s">
        <v>30</v>
      </c>
      <c r="D115" s="52"/>
      <c r="E115" s="171">
        <v>3.7</v>
      </c>
      <c r="F115" s="79"/>
      <c r="G115" s="175">
        <v>92228.805800000002</v>
      </c>
      <c r="H115" s="66"/>
      <c r="I115" s="55"/>
      <c r="J115" s="55"/>
      <c r="K115" s="55"/>
      <c r="L115" s="53"/>
      <c r="M115" s="54"/>
      <c r="N115" s="55"/>
      <c r="O115" s="55"/>
      <c r="P115" s="53"/>
      <c r="Q115" s="54"/>
      <c r="R115" s="55"/>
      <c r="S115" s="55"/>
      <c r="T115" s="79"/>
      <c r="U115" s="79"/>
      <c r="V115" s="79"/>
      <c r="W115" s="79">
        <f>E115</f>
        <v>3.7</v>
      </c>
      <c r="X115" s="79"/>
      <c r="Y115" s="80">
        <f>G115</f>
        <v>92228.805800000002</v>
      </c>
      <c r="Z115" s="34"/>
      <c r="AA115" s="79"/>
      <c r="AB115" s="81"/>
      <c r="AC115" s="171"/>
      <c r="AD115" s="171"/>
      <c r="AE115" s="172"/>
      <c r="AF115" s="77"/>
      <c r="AG115" s="13"/>
      <c r="AH115" s="13"/>
    </row>
    <row r="116" spans="1:43" s="42" customFormat="1" ht="30" hidden="1" customHeight="1">
      <c r="A116" s="169">
        <v>33</v>
      </c>
      <c r="B116" s="78" t="s">
        <v>135</v>
      </c>
      <c r="C116" s="52"/>
      <c r="D116" s="52"/>
      <c r="E116" s="171"/>
      <c r="F116" s="79"/>
      <c r="G116" s="65"/>
      <c r="H116" s="66"/>
      <c r="I116" s="55"/>
      <c r="J116" s="55"/>
      <c r="K116" s="55"/>
      <c r="L116" s="53"/>
      <c r="M116" s="54"/>
      <c r="N116" s="55"/>
      <c r="O116" s="55"/>
      <c r="P116" s="53"/>
      <c r="Q116" s="54"/>
      <c r="R116" s="55"/>
      <c r="S116" s="55"/>
      <c r="T116" s="79"/>
      <c r="U116" s="79"/>
      <c r="V116" s="79"/>
      <c r="W116" s="79"/>
      <c r="X116" s="79"/>
      <c r="Y116" s="80"/>
      <c r="Z116" s="79">
        <f>E116</f>
        <v>0</v>
      </c>
      <c r="AA116" s="79"/>
      <c r="AB116" s="80">
        <f>G116</f>
        <v>0</v>
      </c>
      <c r="AC116" s="171"/>
      <c r="AD116" s="171"/>
      <c r="AE116" s="172"/>
      <c r="AF116" s="77"/>
      <c r="AG116" s="13"/>
      <c r="AH116" s="13"/>
    </row>
    <row r="117" spans="1:43" s="42" customFormat="1" ht="33.75" customHeight="1">
      <c r="A117" s="198" t="s">
        <v>136</v>
      </c>
      <c r="B117" s="198"/>
      <c r="C117" s="198"/>
      <c r="D117" s="43"/>
      <c r="E117" s="60">
        <f>SUM(E113:E116)</f>
        <v>11.6</v>
      </c>
      <c r="F117" s="60"/>
      <c r="G117" s="34">
        <f>SUM(G113:G116)</f>
        <v>299390.97511999996</v>
      </c>
      <c r="H117" s="60" t="e">
        <f>SUM(#REF!)</f>
        <v>#REF!</v>
      </c>
      <c r="I117" s="35" t="e">
        <f>SUM(#REF!)</f>
        <v>#REF!</v>
      </c>
      <c r="J117" s="35" t="e">
        <f>SUM(#REF!)</f>
        <v>#REF!</v>
      </c>
      <c r="K117" s="35"/>
      <c r="L117" s="60" t="e">
        <f>SUM(#REF!)</f>
        <v>#REF!</v>
      </c>
      <c r="M117" s="35" t="e">
        <f>SUM(#REF!)</f>
        <v>#REF!</v>
      </c>
      <c r="N117" s="35" t="e">
        <f>SUM(#REF!)</f>
        <v>#REF!</v>
      </c>
      <c r="O117" s="35"/>
      <c r="P117" s="60" t="e">
        <f>SUM(#REF!)</f>
        <v>#REF!</v>
      </c>
      <c r="Q117" s="35" t="e">
        <f>SUM(#REF!)</f>
        <v>#REF!</v>
      </c>
      <c r="R117" s="35" t="e">
        <f>SUM(#REF!)</f>
        <v>#REF!</v>
      </c>
      <c r="S117" s="35" t="e">
        <f>SUM(#REF!)</f>
        <v>#REF!</v>
      </c>
      <c r="T117" s="60">
        <f>SUM(T113:T115)</f>
        <v>7.8999999999999995</v>
      </c>
      <c r="U117" s="60"/>
      <c r="V117" s="34">
        <f>SUM(V113:V115)</f>
        <v>77152.088969999997</v>
      </c>
      <c r="W117" s="60">
        <f>SUM(W113:W115)</f>
        <v>3.7</v>
      </c>
      <c r="X117" s="60"/>
      <c r="Y117" s="36">
        <f>SUM(Y113:Y115)</f>
        <v>92228.805800000002</v>
      </c>
      <c r="Z117" s="34">
        <f>SUM(Z116)</f>
        <v>0</v>
      </c>
      <c r="AA117" s="34"/>
      <c r="AB117" s="36">
        <f>SUM(AB116)</f>
        <v>0</v>
      </c>
      <c r="AC117" s="34"/>
      <c r="AD117" s="34"/>
      <c r="AE117" s="37"/>
      <c r="AF117" s="69"/>
      <c r="AG117" s="13"/>
      <c r="AH117" s="13"/>
      <c r="AJ117" s="40">
        <f>T117+W117+Z117</f>
        <v>11.6</v>
      </c>
    </row>
    <row r="118" spans="1:43" s="42" customFormat="1" ht="32.25" customHeight="1">
      <c r="A118" s="186" t="s">
        <v>137</v>
      </c>
      <c r="B118" s="186"/>
      <c r="C118" s="185"/>
      <c r="D118" s="185"/>
      <c r="E118" s="185"/>
      <c r="F118" s="165"/>
      <c r="G118" s="34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175"/>
      <c r="V118" s="175"/>
      <c r="W118" s="175"/>
      <c r="X118" s="52"/>
      <c r="Y118" s="173"/>
      <c r="Z118" s="34"/>
      <c r="AA118" s="175"/>
      <c r="AB118" s="173"/>
      <c r="AC118" s="175"/>
      <c r="AD118" s="175"/>
      <c r="AE118" s="47"/>
      <c r="AF118" s="48"/>
      <c r="AG118" s="13"/>
      <c r="AH118" s="13"/>
      <c r="AI118" s="42" t="s">
        <v>23</v>
      </c>
    </row>
    <row r="119" spans="1:43" s="42" customFormat="1" ht="71.25" customHeight="1">
      <c r="A119" s="169">
        <v>29</v>
      </c>
      <c r="B119" s="170" t="s">
        <v>186</v>
      </c>
      <c r="C119" s="52" t="s">
        <v>30</v>
      </c>
      <c r="D119" s="52"/>
      <c r="E119" s="72">
        <f>(2.629-0.091)+(15.294-11.95)</f>
        <v>5.8820000000000014</v>
      </c>
      <c r="F119" s="72"/>
      <c r="G119" s="175">
        <v>132646.55124999999</v>
      </c>
      <c r="H119" s="66"/>
      <c r="I119" s="55"/>
      <c r="J119" s="55"/>
      <c r="K119" s="55"/>
      <c r="L119" s="171"/>
      <c r="M119" s="55"/>
      <c r="N119" s="55"/>
      <c r="O119" s="55"/>
      <c r="P119" s="53"/>
      <c r="Q119" s="54"/>
      <c r="R119" s="55"/>
      <c r="S119" s="55"/>
      <c r="T119" s="171"/>
      <c r="U119" s="175"/>
      <c r="V119" s="175"/>
      <c r="W119" s="72">
        <f>E119</f>
        <v>5.8820000000000014</v>
      </c>
      <c r="X119" s="171"/>
      <c r="Y119" s="173">
        <f>G119</f>
        <v>132646.55124999999</v>
      </c>
      <c r="Z119" s="34"/>
      <c r="AA119" s="175"/>
      <c r="AB119" s="173"/>
      <c r="AC119" s="175"/>
      <c r="AD119" s="175"/>
      <c r="AE119" s="47"/>
      <c r="AF119" s="48"/>
      <c r="AG119" s="13"/>
      <c r="AH119" s="13"/>
    </row>
    <row r="120" spans="1:43" s="42" customFormat="1" ht="47.25" customHeight="1">
      <c r="A120" s="169">
        <v>30</v>
      </c>
      <c r="B120" s="75" t="s">
        <v>138</v>
      </c>
      <c r="C120" s="52" t="s">
        <v>33</v>
      </c>
      <c r="D120" s="52"/>
      <c r="E120" s="72"/>
      <c r="F120" s="72"/>
      <c r="G120" s="175">
        <v>103171.02463</v>
      </c>
      <c r="H120" s="66"/>
      <c r="I120" s="55"/>
      <c r="J120" s="55"/>
      <c r="K120" s="55"/>
      <c r="L120" s="171"/>
      <c r="M120" s="55"/>
      <c r="N120" s="55"/>
      <c r="O120" s="55"/>
      <c r="P120" s="53"/>
      <c r="Q120" s="54"/>
      <c r="R120" s="55"/>
      <c r="S120" s="55"/>
      <c r="T120" s="171"/>
      <c r="U120" s="175"/>
      <c r="V120" s="173">
        <f>G120</f>
        <v>103171.02463</v>
      </c>
      <c r="W120" s="72"/>
      <c r="X120" s="171"/>
      <c r="Y120" s="173"/>
      <c r="Z120" s="34"/>
      <c r="AA120" s="175"/>
      <c r="AB120" s="173"/>
      <c r="AC120" s="175"/>
      <c r="AD120" s="175"/>
      <c r="AE120" s="47"/>
      <c r="AF120" s="48"/>
      <c r="AG120" s="13"/>
      <c r="AH120" s="13"/>
    </row>
    <row r="121" spans="1:43" s="42" customFormat="1" ht="45.75" customHeight="1">
      <c r="A121" s="169">
        <v>31</v>
      </c>
      <c r="B121" s="170" t="s">
        <v>201</v>
      </c>
      <c r="C121" s="52" t="s">
        <v>30</v>
      </c>
      <c r="D121" s="52"/>
      <c r="E121" s="72">
        <f>18-12.914</f>
        <v>5.0860000000000003</v>
      </c>
      <c r="F121" s="72"/>
      <c r="G121" s="175">
        <v>146100</v>
      </c>
      <c r="H121" s="66"/>
      <c r="I121" s="55"/>
      <c r="J121" s="55"/>
      <c r="K121" s="55"/>
      <c r="L121" s="171"/>
      <c r="M121" s="55"/>
      <c r="N121" s="55"/>
      <c r="O121" s="55"/>
      <c r="P121" s="53"/>
      <c r="Q121" s="54"/>
      <c r="R121" s="55"/>
      <c r="S121" s="55"/>
      <c r="T121" s="171"/>
      <c r="U121" s="175"/>
      <c r="V121" s="173"/>
      <c r="W121" s="171">
        <f>E121</f>
        <v>5.0860000000000003</v>
      </c>
      <c r="X121" s="171"/>
      <c r="Y121" s="175">
        <f>G121</f>
        <v>146100</v>
      </c>
      <c r="Z121" s="34"/>
      <c r="AA121" s="175"/>
      <c r="AB121" s="173"/>
      <c r="AC121" s="175"/>
      <c r="AD121" s="175"/>
      <c r="AE121" s="47"/>
      <c r="AF121" s="48"/>
      <c r="AG121" s="13"/>
      <c r="AH121" s="13"/>
    </row>
    <row r="122" spans="1:43" s="42" customFormat="1" ht="66" customHeight="1">
      <c r="A122" s="169">
        <v>32</v>
      </c>
      <c r="B122" s="170" t="s">
        <v>187</v>
      </c>
      <c r="C122" s="52" t="s">
        <v>30</v>
      </c>
      <c r="D122" s="52"/>
      <c r="E122" s="72">
        <f>(2.74-0.06)+(3.714-2.782)</f>
        <v>3.6120000000000001</v>
      </c>
      <c r="F122" s="72"/>
      <c r="G122" s="175">
        <v>66730.599999999977</v>
      </c>
      <c r="H122" s="66"/>
      <c r="I122" s="55"/>
      <c r="J122" s="55"/>
      <c r="K122" s="55"/>
      <c r="L122" s="171"/>
      <c r="M122" s="55"/>
      <c r="N122" s="55"/>
      <c r="O122" s="55"/>
      <c r="P122" s="53"/>
      <c r="Q122" s="54"/>
      <c r="R122" s="55"/>
      <c r="S122" s="55"/>
      <c r="T122" s="171"/>
      <c r="U122" s="175"/>
      <c r="V122" s="175"/>
      <c r="W122" s="171">
        <f>E122</f>
        <v>3.6120000000000001</v>
      </c>
      <c r="X122" s="171"/>
      <c r="Y122" s="173">
        <f>G122</f>
        <v>66730.599999999977</v>
      </c>
      <c r="Z122" s="34"/>
      <c r="AA122" s="175"/>
      <c r="AB122" s="173"/>
      <c r="AC122" s="175"/>
      <c r="AD122" s="175"/>
      <c r="AE122" s="47"/>
      <c r="AF122" s="48"/>
      <c r="AG122" s="13"/>
      <c r="AH122" s="13"/>
    </row>
    <row r="123" spans="1:43" s="42" customFormat="1" ht="44.25" customHeight="1">
      <c r="A123" s="169">
        <v>33</v>
      </c>
      <c r="B123" s="177" t="s">
        <v>203</v>
      </c>
      <c r="C123" s="52" t="s">
        <v>55</v>
      </c>
      <c r="D123" s="52"/>
      <c r="E123" s="72">
        <v>9.42</v>
      </c>
      <c r="F123" s="72"/>
      <c r="G123" s="175">
        <v>285000</v>
      </c>
      <c r="H123" s="66"/>
      <c r="I123" s="55"/>
      <c r="J123" s="55"/>
      <c r="K123" s="55"/>
      <c r="L123" s="53"/>
      <c r="M123" s="54"/>
      <c r="N123" s="55"/>
      <c r="O123" s="55"/>
      <c r="P123" s="171"/>
      <c r="Q123" s="175"/>
      <c r="R123" s="175"/>
      <c r="S123" s="175"/>
      <c r="T123" s="171"/>
      <c r="U123" s="175"/>
      <c r="V123" s="175"/>
      <c r="W123" s="175"/>
      <c r="X123" s="55"/>
      <c r="Y123" s="173"/>
      <c r="Z123" s="171">
        <f>E123</f>
        <v>9.42</v>
      </c>
      <c r="AA123" s="175"/>
      <c r="AB123" s="173">
        <f>G123</f>
        <v>285000</v>
      </c>
      <c r="AC123" s="175"/>
      <c r="AD123" s="175"/>
      <c r="AE123" s="47"/>
      <c r="AF123" s="48"/>
      <c r="AG123" s="13"/>
      <c r="AH123" s="13"/>
    </row>
    <row r="124" spans="1:43" s="42" customFormat="1" ht="33.75" customHeight="1">
      <c r="A124" s="198" t="s">
        <v>139</v>
      </c>
      <c r="B124" s="198"/>
      <c r="C124" s="198"/>
      <c r="D124" s="59"/>
      <c r="E124" s="60">
        <f>SUM(E119:E123)</f>
        <v>24</v>
      </c>
      <c r="F124" s="60"/>
      <c r="G124" s="34">
        <f>SUM(G119:G123)</f>
        <v>733648.17588</v>
      </c>
      <c r="H124" s="60" t="e">
        <f>SUM(#REF!)</f>
        <v>#REF!</v>
      </c>
      <c r="I124" s="35" t="e">
        <f>SUM(#REF!)</f>
        <v>#REF!</v>
      </c>
      <c r="J124" s="35" t="e">
        <f>SUM(#REF!)</f>
        <v>#REF!</v>
      </c>
      <c r="K124" s="35"/>
      <c r="L124" s="60" t="e">
        <f>SUM(#REF!)</f>
        <v>#REF!</v>
      </c>
      <c r="M124" s="35" t="e">
        <f>SUM(#REF!)</f>
        <v>#REF!</v>
      </c>
      <c r="N124" s="35" t="e">
        <f>SUM(#REF!)</f>
        <v>#REF!</v>
      </c>
      <c r="O124" s="35" t="e">
        <f>SUM(#REF!)</f>
        <v>#REF!</v>
      </c>
      <c r="P124" s="82">
        <f>SUM(P119:P123)</f>
        <v>0</v>
      </c>
      <c r="Q124" s="35">
        <f>SUM(Q119:Q123)</f>
        <v>0</v>
      </c>
      <c r="R124" s="35">
        <f>SUM(R119:R123)</f>
        <v>0</v>
      </c>
      <c r="S124" s="34">
        <f>SUM(S119:S123)</f>
        <v>0</v>
      </c>
      <c r="T124" s="60"/>
      <c r="U124" s="34"/>
      <c r="V124" s="34">
        <f>SUM(V119:V123)</f>
        <v>103171.02463</v>
      </c>
      <c r="W124" s="34">
        <f>SUM(W119:W123)</f>
        <v>14.580000000000002</v>
      </c>
      <c r="X124" s="60"/>
      <c r="Y124" s="36">
        <f>SUM(Y119:Y123)</f>
        <v>345477.15125</v>
      </c>
      <c r="Z124" s="34">
        <f>SUM(Z119:Z123)</f>
        <v>9.42</v>
      </c>
      <c r="AA124" s="60"/>
      <c r="AB124" s="36">
        <f>SUM(AB119:AB123)</f>
        <v>285000</v>
      </c>
      <c r="AC124" s="34"/>
      <c r="AD124" s="34"/>
      <c r="AE124" s="37"/>
      <c r="AF124" s="69"/>
      <c r="AG124" s="13"/>
      <c r="AH124" s="13"/>
      <c r="AJ124" s="40">
        <f>T124+W124+Z124</f>
        <v>24</v>
      </c>
    </row>
    <row r="125" spans="1:43" s="42" customFormat="1" ht="30.75" customHeight="1">
      <c r="A125" s="186" t="s">
        <v>140</v>
      </c>
      <c r="B125" s="186"/>
      <c r="C125" s="185"/>
      <c r="D125" s="185"/>
      <c r="E125" s="185"/>
      <c r="F125" s="165"/>
      <c r="G125" s="34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52"/>
      <c r="U125" s="175"/>
      <c r="V125" s="175"/>
      <c r="W125" s="175"/>
      <c r="X125" s="52"/>
      <c r="Y125" s="173"/>
      <c r="Z125" s="34"/>
      <c r="AA125" s="175"/>
      <c r="AB125" s="173"/>
      <c r="AC125" s="175"/>
      <c r="AD125" s="175"/>
      <c r="AE125" s="47"/>
      <c r="AF125" s="48"/>
      <c r="AG125" s="13"/>
      <c r="AH125" s="13"/>
    </row>
    <row r="126" spans="1:43" s="42" customFormat="1" ht="43.5" customHeight="1">
      <c r="A126" s="169">
        <v>34</v>
      </c>
      <c r="B126" s="170" t="s">
        <v>141</v>
      </c>
      <c r="C126" s="52" t="s">
        <v>33</v>
      </c>
      <c r="D126" s="52"/>
      <c r="E126" s="72">
        <v>6.4</v>
      </c>
      <c r="F126" s="72"/>
      <c r="G126" s="175">
        <v>221191.52473999999</v>
      </c>
      <c r="H126" s="66"/>
      <c r="I126" s="55"/>
      <c r="J126" s="55"/>
      <c r="K126" s="55"/>
      <c r="L126" s="53"/>
      <c r="M126" s="54"/>
      <c r="N126" s="55"/>
      <c r="O126" s="55"/>
      <c r="P126" s="171"/>
      <c r="Q126" s="55"/>
      <c r="R126" s="55"/>
      <c r="S126" s="55"/>
      <c r="T126" s="171"/>
      <c r="U126" s="175"/>
      <c r="V126" s="175"/>
      <c r="W126" s="171">
        <f>E126</f>
        <v>6.4</v>
      </c>
      <c r="X126" s="55"/>
      <c r="Y126" s="173">
        <f>G126</f>
        <v>221191.52473999999</v>
      </c>
      <c r="Z126" s="34"/>
      <c r="AA126" s="175"/>
      <c r="AB126" s="173"/>
      <c r="AC126" s="175"/>
      <c r="AD126" s="175"/>
      <c r="AE126" s="47"/>
      <c r="AF126" s="48"/>
      <c r="AG126" s="13"/>
      <c r="AH126" s="13"/>
    </row>
    <row r="127" spans="1:43" s="42" customFormat="1" ht="30" customHeight="1">
      <c r="A127" s="198" t="s">
        <v>142</v>
      </c>
      <c r="B127" s="198"/>
      <c r="C127" s="198"/>
      <c r="D127" s="59"/>
      <c r="E127" s="34">
        <f>SUM(E126:E126)</f>
        <v>6.4</v>
      </c>
      <c r="F127" s="34"/>
      <c r="G127" s="34">
        <f>SUM(G126:G126)</f>
        <v>221191.52473999999</v>
      </c>
      <c r="H127" s="60" t="e">
        <f>SUM(#REF!)</f>
        <v>#REF!</v>
      </c>
      <c r="I127" s="35" t="e">
        <f>SUM(#REF!)</f>
        <v>#REF!</v>
      </c>
      <c r="J127" s="35" t="e">
        <f>SUM(#REF!)</f>
        <v>#REF!</v>
      </c>
      <c r="K127" s="35"/>
      <c r="L127" s="60" t="e">
        <f>SUM(#REF!)</f>
        <v>#REF!</v>
      </c>
      <c r="M127" s="35" t="e">
        <f>SUM(#REF!)</f>
        <v>#REF!</v>
      </c>
      <c r="N127" s="35" t="e">
        <f>SUM(#REF!)</f>
        <v>#REF!</v>
      </c>
      <c r="O127" s="35"/>
      <c r="P127" s="34" t="e">
        <f>SUM(#REF!)</f>
        <v>#REF!</v>
      </c>
      <c r="Q127" s="35" t="e">
        <f>SUM(#REF!)</f>
        <v>#REF!</v>
      </c>
      <c r="R127" s="35" t="e">
        <f>SUM(#REF!)</f>
        <v>#REF!</v>
      </c>
      <c r="S127" s="35"/>
      <c r="T127" s="34"/>
      <c r="U127" s="34"/>
      <c r="V127" s="34"/>
      <c r="W127" s="34">
        <f>SUM(W126:W126)</f>
        <v>6.4</v>
      </c>
      <c r="X127" s="34"/>
      <c r="Y127" s="36">
        <f>SUM(Y126:Y126)</f>
        <v>221191.52473999999</v>
      </c>
      <c r="Z127" s="34"/>
      <c r="AA127" s="34"/>
      <c r="AB127" s="36"/>
      <c r="AC127" s="34"/>
      <c r="AD127" s="34"/>
      <c r="AE127" s="37"/>
      <c r="AF127" s="69"/>
      <c r="AG127" s="13"/>
      <c r="AH127" s="13"/>
      <c r="AJ127" s="40">
        <f>T127+W127+Z127</f>
        <v>6.4</v>
      </c>
    </row>
    <row r="128" spans="1:43" s="42" customFormat="1" ht="30.75" customHeight="1">
      <c r="A128" s="167"/>
      <c r="B128" s="51" t="s">
        <v>143</v>
      </c>
      <c r="C128" s="43"/>
      <c r="D128" s="43"/>
      <c r="E128" s="83">
        <f>Z128</f>
        <v>0</v>
      </c>
      <c r="F128" s="66"/>
      <c r="G128" s="175">
        <f>V128+Y128+AB128</f>
        <v>2.8407499999999999</v>
      </c>
      <c r="H128" s="175"/>
      <c r="I128" s="55"/>
      <c r="J128" s="55"/>
      <c r="K128" s="55"/>
      <c r="L128" s="84"/>
      <c r="M128" s="55"/>
      <c r="N128" s="55"/>
      <c r="O128" s="55"/>
      <c r="P128" s="175"/>
      <c r="Q128" s="55"/>
      <c r="R128" s="55"/>
      <c r="S128" s="55"/>
      <c r="T128" s="171"/>
      <c r="U128" s="56"/>
      <c r="V128" s="175">
        <v>1.2595499999999999</v>
      </c>
      <c r="W128" s="55"/>
      <c r="X128" s="175"/>
      <c r="Y128" s="175">
        <v>0.51463999999999999</v>
      </c>
      <c r="Z128" s="175"/>
      <c r="AA128" s="55"/>
      <c r="AB128" s="173">
        <v>1.06656</v>
      </c>
      <c r="AC128" s="175"/>
      <c r="AD128" s="175"/>
      <c r="AE128" s="47"/>
      <c r="AF128" s="48"/>
      <c r="AG128" s="85">
        <f>AB128/29000</f>
        <v>3.6777931034482756E-5</v>
      </c>
      <c r="AJ128" s="40">
        <f>T128+W128+Z128</f>
        <v>0</v>
      </c>
      <c r="AQ128" s="42" t="s">
        <v>31</v>
      </c>
    </row>
    <row r="129" spans="1:36" s="42" customFormat="1" ht="35.25" customHeight="1">
      <c r="A129" s="29" t="s">
        <v>42</v>
      </c>
      <c r="B129" s="202" t="s">
        <v>144</v>
      </c>
      <c r="C129" s="202"/>
      <c r="D129" s="202"/>
      <c r="E129" s="202"/>
      <c r="F129" s="202"/>
      <c r="G129" s="202"/>
      <c r="H129" s="202"/>
      <c r="I129" s="202"/>
      <c r="J129" s="202"/>
      <c r="K129" s="202"/>
      <c r="L129" s="202"/>
      <c r="M129" s="202"/>
      <c r="N129" s="202"/>
      <c r="O129" s="202"/>
      <c r="P129" s="202"/>
      <c r="Q129" s="202"/>
      <c r="R129" s="202"/>
      <c r="S129" s="202"/>
      <c r="T129" s="202"/>
      <c r="U129" s="202"/>
      <c r="V129" s="202"/>
      <c r="W129" s="202"/>
      <c r="X129" s="202"/>
      <c r="Y129" s="202"/>
      <c r="Z129" s="202"/>
      <c r="AA129" s="202"/>
      <c r="AB129" s="202"/>
      <c r="AC129" s="202"/>
      <c r="AD129" s="202"/>
      <c r="AE129" s="202"/>
      <c r="AF129" s="48"/>
      <c r="AG129" s="85"/>
      <c r="AJ129" s="40"/>
    </row>
    <row r="130" spans="1:36" s="42" customFormat="1" ht="31.5" customHeight="1">
      <c r="A130" s="31"/>
      <c r="B130" s="213" t="s">
        <v>27</v>
      </c>
      <c r="C130" s="213"/>
      <c r="D130" s="176"/>
      <c r="E130" s="176"/>
      <c r="F130" s="86">
        <f>SUM(F135:F150)</f>
        <v>385.09999999999997</v>
      </c>
      <c r="G130" s="86">
        <f>SUM(G135:G150)</f>
        <v>795446.5</v>
      </c>
      <c r="H130" s="176"/>
      <c r="I130" s="176"/>
      <c r="J130" s="176"/>
      <c r="K130" s="176"/>
      <c r="L130" s="176"/>
      <c r="M130" s="176"/>
      <c r="N130" s="176"/>
      <c r="O130" s="176"/>
      <c r="P130" s="176"/>
      <c r="Q130" s="176"/>
      <c r="R130" s="176"/>
      <c r="S130" s="176"/>
      <c r="T130" s="176"/>
      <c r="U130" s="176"/>
      <c r="V130" s="176"/>
      <c r="W130" s="176"/>
      <c r="X130" s="176"/>
      <c r="Y130" s="176"/>
      <c r="Z130" s="176"/>
      <c r="AA130" s="86">
        <f>SUM(AA135:AA150)</f>
        <v>385.09999999999997</v>
      </c>
      <c r="AB130" s="86">
        <f>SUM(AB135:AB150)</f>
        <v>795446.5</v>
      </c>
      <c r="AC130" s="176"/>
      <c r="AD130" s="176"/>
      <c r="AE130" s="88">
        <v>100000</v>
      </c>
      <c r="AF130" s="48"/>
      <c r="AG130" s="85"/>
      <c r="AJ130" s="40"/>
    </row>
    <row r="131" spans="1:36" s="42" customFormat="1" ht="28.5" customHeight="1">
      <c r="A131" s="31"/>
      <c r="B131" s="156" t="s">
        <v>188</v>
      </c>
      <c r="C131" s="176"/>
      <c r="D131" s="176"/>
      <c r="E131" s="176"/>
      <c r="F131" s="86"/>
      <c r="G131" s="87"/>
      <c r="H131" s="176"/>
      <c r="I131" s="176"/>
      <c r="J131" s="176"/>
      <c r="K131" s="176"/>
      <c r="L131" s="176"/>
      <c r="M131" s="176"/>
      <c r="N131" s="176"/>
      <c r="O131" s="176"/>
      <c r="P131" s="176"/>
      <c r="Q131" s="176"/>
      <c r="R131" s="176"/>
      <c r="S131" s="176"/>
      <c r="T131" s="176"/>
      <c r="U131" s="176"/>
      <c r="V131" s="176"/>
      <c r="W131" s="176"/>
      <c r="X131" s="176"/>
      <c r="Y131" s="176"/>
      <c r="Z131" s="176"/>
      <c r="AA131" s="86"/>
      <c r="AB131" s="87"/>
      <c r="AC131" s="176"/>
      <c r="AD131" s="176"/>
      <c r="AE131" s="88"/>
      <c r="AF131" s="48"/>
      <c r="AG131" s="85"/>
      <c r="AJ131" s="40"/>
    </row>
    <row r="132" spans="1:36" s="42" customFormat="1" ht="33.75" customHeight="1">
      <c r="A132" s="31"/>
      <c r="B132" s="119" t="s">
        <v>189</v>
      </c>
      <c r="C132" s="176"/>
      <c r="D132" s="176"/>
      <c r="E132" s="176"/>
      <c r="F132" s="161">
        <f>F135+F149</f>
        <v>87.9</v>
      </c>
      <c r="G132" s="161">
        <f>G135+G149</f>
        <v>380000</v>
      </c>
      <c r="H132" s="163"/>
      <c r="I132" s="163"/>
      <c r="J132" s="163"/>
      <c r="K132" s="163"/>
      <c r="L132" s="163"/>
      <c r="M132" s="163"/>
      <c r="N132" s="163"/>
      <c r="O132" s="163"/>
      <c r="P132" s="163"/>
      <c r="Q132" s="163"/>
      <c r="R132" s="163"/>
      <c r="S132" s="163"/>
      <c r="T132" s="163"/>
      <c r="U132" s="163"/>
      <c r="V132" s="163"/>
      <c r="W132" s="163"/>
      <c r="X132" s="163"/>
      <c r="Y132" s="163"/>
      <c r="Z132" s="163"/>
      <c r="AA132" s="161">
        <f>AA135+AA149</f>
        <v>87.9</v>
      </c>
      <c r="AB132" s="161">
        <f>AB135+AB149</f>
        <v>380000</v>
      </c>
      <c r="AC132" s="163"/>
      <c r="AD132" s="163"/>
      <c r="AE132" s="88"/>
      <c r="AF132" s="48"/>
      <c r="AG132" s="85"/>
      <c r="AJ132" s="40"/>
    </row>
    <row r="133" spans="1:36" s="42" customFormat="1" ht="36.75" customHeight="1">
      <c r="A133" s="31"/>
      <c r="B133" s="119" t="s">
        <v>190</v>
      </c>
      <c r="C133" s="176"/>
      <c r="D133" s="176"/>
      <c r="E133" s="176"/>
      <c r="F133" s="161">
        <f>F136+F138+F140+F142+F144+F148+F150</f>
        <v>297.2</v>
      </c>
      <c r="G133" s="161">
        <f>G136+G138+G140+G142+G144+G148+G150</f>
        <v>415446.5</v>
      </c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63"/>
      <c r="Y133" s="163"/>
      <c r="Z133" s="163"/>
      <c r="AA133" s="161">
        <f>AA136+AA138+AA140+AA142+AA144+AA148+AA150</f>
        <v>297.2</v>
      </c>
      <c r="AB133" s="161">
        <f>AB136+AB138+AB140+AB142+AB144+AB148+AB150</f>
        <v>415446.5</v>
      </c>
      <c r="AC133" s="163"/>
      <c r="AD133" s="163"/>
      <c r="AE133" s="88"/>
      <c r="AF133" s="48"/>
      <c r="AG133" s="85"/>
      <c r="AJ133" s="40"/>
    </row>
    <row r="134" spans="1:36" s="42" customFormat="1" ht="28.5" customHeight="1">
      <c r="A134" s="214" t="s">
        <v>37</v>
      </c>
      <c r="B134" s="214"/>
      <c r="C134" s="176"/>
      <c r="D134" s="176"/>
      <c r="E134" s="176"/>
      <c r="F134" s="86"/>
      <c r="G134" s="87"/>
      <c r="H134" s="176"/>
      <c r="I134" s="176"/>
      <c r="J134" s="176"/>
      <c r="K134" s="176"/>
      <c r="L134" s="176"/>
      <c r="M134" s="176"/>
      <c r="N134" s="176"/>
      <c r="O134" s="176"/>
      <c r="P134" s="176"/>
      <c r="Q134" s="176"/>
      <c r="R134" s="176"/>
      <c r="S134" s="176"/>
      <c r="T134" s="176"/>
      <c r="U134" s="176"/>
      <c r="V134" s="176"/>
      <c r="W134" s="176"/>
      <c r="X134" s="176"/>
      <c r="Y134" s="176"/>
      <c r="Z134" s="176"/>
      <c r="AA134" s="86"/>
      <c r="AB134" s="87"/>
      <c r="AC134" s="176"/>
      <c r="AD134" s="176"/>
      <c r="AE134" s="88"/>
      <c r="AF134" s="48"/>
      <c r="AG134" s="85"/>
      <c r="AJ134" s="40"/>
    </row>
    <row r="135" spans="1:36" s="42" customFormat="1" ht="68.25" customHeight="1">
      <c r="A135" s="169">
        <v>1</v>
      </c>
      <c r="B135" s="75" t="s">
        <v>191</v>
      </c>
      <c r="C135" s="176"/>
      <c r="D135" s="176"/>
      <c r="E135" s="176"/>
      <c r="F135" s="175">
        <v>37.200000000000003</v>
      </c>
      <c r="G135" s="175">
        <v>80000</v>
      </c>
      <c r="H135" s="176"/>
      <c r="I135" s="176"/>
      <c r="J135" s="176"/>
      <c r="K135" s="176"/>
      <c r="L135" s="176"/>
      <c r="M135" s="176"/>
      <c r="N135" s="176"/>
      <c r="O135" s="176"/>
      <c r="P135" s="176"/>
      <c r="Q135" s="176"/>
      <c r="R135" s="176"/>
      <c r="S135" s="176"/>
      <c r="T135" s="176"/>
      <c r="U135" s="176"/>
      <c r="V135" s="176"/>
      <c r="W135" s="176"/>
      <c r="X135" s="176"/>
      <c r="Y135" s="176"/>
      <c r="Z135" s="176"/>
      <c r="AA135" s="161">
        <f>F135</f>
        <v>37.200000000000003</v>
      </c>
      <c r="AB135" s="162">
        <f>G135</f>
        <v>80000</v>
      </c>
      <c r="AC135" s="176"/>
      <c r="AD135" s="176"/>
      <c r="AE135" s="88"/>
      <c r="AF135" s="48"/>
      <c r="AG135" s="85"/>
      <c r="AJ135" s="40"/>
    </row>
    <row r="136" spans="1:36" s="42" customFormat="1" ht="68.25" customHeight="1">
      <c r="A136" s="169">
        <v>2</v>
      </c>
      <c r="B136" s="75" t="s">
        <v>192</v>
      </c>
      <c r="C136" s="176"/>
      <c r="D136" s="176"/>
      <c r="E136" s="176"/>
      <c r="F136" s="175">
        <v>38.299999999999997</v>
      </c>
      <c r="G136" s="175">
        <v>20000</v>
      </c>
      <c r="H136" s="176"/>
      <c r="I136" s="176"/>
      <c r="J136" s="176"/>
      <c r="K136" s="176"/>
      <c r="L136" s="176"/>
      <c r="M136" s="176"/>
      <c r="N136" s="176"/>
      <c r="O136" s="176"/>
      <c r="P136" s="176"/>
      <c r="Q136" s="176"/>
      <c r="R136" s="176"/>
      <c r="S136" s="176"/>
      <c r="T136" s="176"/>
      <c r="U136" s="176"/>
      <c r="V136" s="176"/>
      <c r="W136" s="176"/>
      <c r="X136" s="176"/>
      <c r="Y136" s="176"/>
      <c r="Z136" s="176"/>
      <c r="AA136" s="161">
        <f>F136</f>
        <v>38.299999999999997</v>
      </c>
      <c r="AB136" s="162">
        <f>G136</f>
        <v>20000</v>
      </c>
      <c r="AC136" s="176"/>
      <c r="AD136" s="176"/>
      <c r="AE136" s="88"/>
      <c r="AF136" s="48"/>
      <c r="AG136" s="85"/>
      <c r="AJ136" s="40"/>
    </row>
    <row r="137" spans="1:36" s="42" customFormat="1" ht="36" customHeight="1">
      <c r="A137" s="186" t="s">
        <v>49</v>
      </c>
      <c r="B137" s="186" t="s">
        <v>49</v>
      </c>
      <c r="C137" s="89"/>
      <c r="D137" s="90"/>
      <c r="E137" s="83"/>
      <c r="F137" s="66"/>
      <c r="G137" s="175"/>
      <c r="H137" s="175"/>
      <c r="I137" s="55"/>
      <c r="J137" s="55"/>
      <c r="K137" s="55"/>
      <c r="L137" s="84"/>
      <c r="M137" s="55"/>
      <c r="N137" s="55"/>
      <c r="O137" s="55"/>
      <c r="P137" s="175"/>
      <c r="Q137" s="55"/>
      <c r="R137" s="55"/>
      <c r="S137" s="55"/>
      <c r="T137" s="171"/>
      <c r="U137" s="56"/>
      <c r="V137" s="175"/>
      <c r="W137" s="55"/>
      <c r="X137" s="175"/>
      <c r="Y137" s="175"/>
      <c r="Z137" s="175"/>
      <c r="AA137" s="55"/>
      <c r="AB137" s="175"/>
      <c r="AC137" s="175"/>
      <c r="AD137" s="175"/>
      <c r="AE137" s="47"/>
      <c r="AF137" s="48"/>
      <c r="AG137" s="85"/>
      <c r="AJ137" s="40"/>
    </row>
    <row r="138" spans="1:36" s="42" customFormat="1" ht="71.25" customHeight="1">
      <c r="A138" s="169">
        <v>3</v>
      </c>
      <c r="B138" s="170" t="s">
        <v>145</v>
      </c>
      <c r="C138" s="91"/>
      <c r="D138" s="74">
        <v>5000</v>
      </c>
      <c r="E138" s="83"/>
      <c r="F138" s="92">
        <v>6.9</v>
      </c>
      <c r="G138" s="175">
        <v>10000</v>
      </c>
      <c r="H138" s="175"/>
      <c r="I138" s="55"/>
      <c r="J138" s="55"/>
      <c r="K138" s="55"/>
      <c r="L138" s="84"/>
      <c r="M138" s="55"/>
      <c r="N138" s="55"/>
      <c r="O138" s="55"/>
      <c r="P138" s="175"/>
      <c r="Q138" s="55"/>
      <c r="R138" s="55"/>
      <c r="S138" s="55"/>
      <c r="T138" s="171"/>
      <c r="U138" s="56"/>
      <c r="V138" s="175"/>
      <c r="W138" s="55"/>
      <c r="X138" s="175"/>
      <c r="Y138" s="175"/>
      <c r="Z138" s="175"/>
      <c r="AA138" s="92">
        <f>F138</f>
        <v>6.9</v>
      </c>
      <c r="AB138" s="175">
        <f>G138</f>
        <v>10000</v>
      </c>
      <c r="AC138" s="175"/>
      <c r="AD138" s="175"/>
      <c r="AE138" s="47"/>
      <c r="AF138" s="48"/>
      <c r="AG138" s="85"/>
      <c r="AJ138" s="40"/>
    </row>
    <row r="139" spans="1:36" s="42" customFormat="1" ht="27.75" customHeight="1">
      <c r="A139" s="215" t="s">
        <v>69</v>
      </c>
      <c r="B139" s="215"/>
      <c r="C139" s="93"/>
      <c r="D139" s="90"/>
      <c r="E139" s="83"/>
      <c r="F139" s="92"/>
      <c r="G139" s="175"/>
      <c r="H139" s="175"/>
      <c r="I139" s="55"/>
      <c r="J139" s="55"/>
      <c r="K139" s="55"/>
      <c r="L139" s="84"/>
      <c r="M139" s="55"/>
      <c r="N139" s="55"/>
      <c r="O139" s="55"/>
      <c r="P139" s="175"/>
      <c r="Q139" s="55"/>
      <c r="R139" s="55"/>
      <c r="S139" s="55"/>
      <c r="T139" s="171"/>
      <c r="U139" s="56"/>
      <c r="V139" s="175"/>
      <c r="W139" s="55"/>
      <c r="X139" s="175"/>
      <c r="Y139" s="175"/>
      <c r="Z139" s="175"/>
      <c r="AA139" s="55"/>
      <c r="AB139" s="175"/>
      <c r="AC139" s="175"/>
      <c r="AD139" s="175"/>
      <c r="AE139" s="47"/>
      <c r="AF139" s="48"/>
      <c r="AG139" s="85"/>
      <c r="AJ139" s="40"/>
    </row>
    <row r="140" spans="1:36" s="42" customFormat="1" ht="81" customHeight="1">
      <c r="A140" s="169">
        <v>4</v>
      </c>
      <c r="B140" s="94" t="s">
        <v>146</v>
      </c>
      <c r="C140" s="91"/>
      <c r="D140" s="74">
        <v>35000</v>
      </c>
      <c r="E140" s="83"/>
      <c r="F140" s="92">
        <v>41</v>
      </c>
      <c r="G140" s="175">
        <v>55000</v>
      </c>
      <c r="H140" s="175"/>
      <c r="I140" s="55"/>
      <c r="J140" s="55"/>
      <c r="K140" s="55"/>
      <c r="L140" s="84"/>
      <c r="M140" s="55"/>
      <c r="N140" s="55"/>
      <c r="O140" s="55"/>
      <c r="P140" s="175"/>
      <c r="Q140" s="55"/>
      <c r="R140" s="55"/>
      <c r="S140" s="55"/>
      <c r="T140" s="171"/>
      <c r="U140" s="56"/>
      <c r="V140" s="175"/>
      <c r="W140" s="55"/>
      <c r="X140" s="175"/>
      <c r="Y140" s="175"/>
      <c r="Z140" s="175"/>
      <c r="AA140" s="92">
        <f>F140</f>
        <v>41</v>
      </c>
      <c r="AB140" s="175">
        <f>G140</f>
        <v>55000</v>
      </c>
      <c r="AC140" s="175"/>
      <c r="AD140" s="175"/>
      <c r="AE140" s="47"/>
      <c r="AF140" s="48"/>
      <c r="AG140" s="85"/>
      <c r="AJ140" s="40" t="s">
        <v>40</v>
      </c>
    </row>
    <row r="141" spans="1:36" s="42" customFormat="1" ht="33" customHeight="1">
      <c r="A141" s="186" t="s">
        <v>74</v>
      </c>
      <c r="B141" s="186"/>
      <c r="C141" s="91"/>
      <c r="D141" s="74"/>
      <c r="E141" s="83"/>
      <c r="F141" s="92"/>
      <c r="G141" s="175"/>
      <c r="H141" s="175"/>
      <c r="I141" s="55"/>
      <c r="J141" s="55"/>
      <c r="K141" s="55"/>
      <c r="L141" s="84"/>
      <c r="M141" s="55"/>
      <c r="N141" s="55"/>
      <c r="O141" s="55"/>
      <c r="P141" s="175"/>
      <c r="Q141" s="55"/>
      <c r="R141" s="55"/>
      <c r="S141" s="55"/>
      <c r="T141" s="171"/>
      <c r="U141" s="56"/>
      <c r="V141" s="175"/>
      <c r="W141" s="55"/>
      <c r="X141" s="175"/>
      <c r="Y141" s="175"/>
      <c r="Z141" s="175"/>
      <c r="AA141" s="92"/>
      <c r="AB141" s="175"/>
      <c r="AC141" s="175"/>
      <c r="AD141" s="175"/>
      <c r="AE141" s="47"/>
      <c r="AF141" s="48"/>
      <c r="AG141" s="85"/>
      <c r="AJ141" s="40"/>
    </row>
    <row r="142" spans="1:36" s="42" customFormat="1" ht="53.25" customHeight="1">
      <c r="A142" s="169">
        <v>5</v>
      </c>
      <c r="B142" s="94" t="s">
        <v>147</v>
      </c>
      <c r="C142" s="91"/>
      <c r="D142" s="74"/>
      <c r="E142" s="83"/>
      <c r="F142" s="92">
        <v>65.3</v>
      </c>
      <c r="G142" s="175">
        <v>22861.200000000001</v>
      </c>
      <c r="H142" s="175"/>
      <c r="I142" s="55"/>
      <c r="J142" s="55"/>
      <c r="K142" s="55"/>
      <c r="L142" s="84"/>
      <c r="M142" s="55"/>
      <c r="N142" s="55"/>
      <c r="O142" s="55"/>
      <c r="P142" s="175"/>
      <c r="Q142" s="55"/>
      <c r="R142" s="55"/>
      <c r="S142" s="55"/>
      <c r="T142" s="171"/>
      <c r="U142" s="56"/>
      <c r="V142" s="175"/>
      <c r="W142" s="55"/>
      <c r="X142" s="175"/>
      <c r="Y142" s="175"/>
      <c r="Z142" s="175"/>
      <c r="AA142" s="92">
        <f>F142</f>
        <v>65.3</v>
      </c>
      <c r="AB142" s="175">
        <f>G142</f>
        <v>22861.200000000001</v>
      </c>
      <c r="AC142" s="175"/>
      <c r="AD142" s="175"/>
      <c r="AE142" s="47"/>
      <c r="AF142" s="48"/>
      <c r="AG142" s="85"/>
      <c r="AJ142" s="40"/>
    </row>
    <row r="143" spans="1:36" s="42" customFormat="1" ht="44.25" customHeight="1">
      <c r="A143" s="167"/>
      <c r="B143" s="95" t="s">
        <v>98</v>
      </c>
      <c r="C143" s="165"/>
      <c r="D143" s="43"/>
      <c r="E143" s="83"/>
      <c r="F143" s="66"/>
      <c r="G143" s="185"/>
      <c r="H143" s="185"/>
      <c r="I143" s="55"/>
      <c r="J143" s="55"/>
      <c r="K143" s="55"/>
      <c r="L143" s="84"/>
      <c r="M143" s="55"/>
      <c r="N143" s="55"/>
      <c r="O143" s="55"/>
      <c r="P143" s="175"/>
      <c r="Q143" s="55"/>
      <c r="R143" s="55"/>
      <c r="S143" s="55"/>
      <c r="T143" s="171"/>
      <c r="U143" s="56"/>
      <c r="V143" s="175"/>
      <c r="W143" s="55"/>
      <c r="X143" s="175"/>
      <c r="Y143" s="175"/>
      <c r="Z143" s="175"/>
      <c r="AA143" s="55"/>
      <c r="AB143" s="175"/>
      <c r="AC143" s="175"/>
      <c r="AD143" s="175"/>
      <c r="AE143" s="47"/>
      <c r="AF143" s="48"/>
      <c r="AG143" s="85"/>
      <c r="AJ143" s="40"/>
    </row>
    <row r="144" spans="1:36" s="42" customFormat="1" ht="53.25" customHeight="1">
      <c r="A144" s="169">
        <v>6</v>
      </c>
      <c r="B144" s="94" t="s">
        <v>148</v>
      </c>
      <c r="C144" s="170"/>
      <c r="D144" s="43"/>
      <c r="E144" s="83"/>
      <c r="F144" s="92">
        <v>38.6</v>
      </c>
      <c r="G144" s="175">
        <v>30000</v>
      </c>
      <c r="H144" s="170"/>
      <c r="I144" s="55"/>
      <c r="J144" s="55"/>
      <c r="K144" s="55"/>
      <c r="L144" s="84"/>
      <c r="M144" s="55"/>
      <c r="N144" s="55"/>
      <c r="O144" s="55"/>
      <c r="P144" s="175"/>
      <c r="Q144" s="55"/>
      <c r="R144" s="55"/>
      <c r="S144" s="55"/>
      <c r="T144" s="171"/>
      <c r="U144" s="56"/>
      <c r="V144" s="175"/>
      <c r="W144" s="55"/>
      <c r="X144" s="175"/>
      <c r="Y144" s="175"/>
      <c r="Z144" s="175"/>
      <c r="AA144" s="92">
        <f>F144</f>
        <v>38.6</v>
      </c>
      <c r="AB144" s="175">
        <f>G144</f>
        <v>30000</v>
      </c>
      <c r="AC144" s="175"/>
      <c r="AD144" s="175"/>
      <c r="AE144" s="47"/>
      <c r="AF144" s="48"/>
      <c r="AG144" s="85"/>
      <c r="AJ144" s="40"/>
    </row>
    <row r="145" spans="1:45" s="42" customFormat="1" ht="38.25" hidden="1" customHeight="1">
      <c r="A145" s="167"/>
      <c r="B145" s="95" t="s">
        <v>110</v>
      </c>
      <c r="C145" s="43"/>
      <c r="D145" s="43"/>
      <c r="E145" s="83"/>
      <c r="F145" s="92"/>
      <c r="G145" s="175"/>
      <c r="H145" s="175"/>
      <c r="I145" s="55"/>
      <c r="J145" s="55"/>
      <c r="K145" s="55"/>
      <c r="L145" s="84"/>
      <c r="M145" s="55"/>
      <c r="N145" s="55"/>
      <c r="O145" s="55"/>
      <c r="P145" s="175"/>
      <c r="Q145" s="55"/>
      <c r="R145" s="55"/>
      <c r="S145" s="55"/>
      <c r="T145" s="171"/>
      <c r="U145" s="56"/>
      <c r="V145" s="175"/>
      <c r="W145" s="55"/>
      <c r="X145" s="175"/>
      <c r="Y145" s="175"/>
      <c r="Z145" s="175" t="s">
        <v>31</v>
      </c>
      <c r="AA145" s="55"/>
      <c r="AB145" s="175"/>
      <c r="AC145" s="175"/>
      <c r="AD145" s="175"/>
      <c r="AE145" s="47"/>
      <c r="AF145" s="48"/>
      <c r="AG145" s="85"/>
      <c r="AJ145" s="40"/>
    </row>
    <row r="146" spans="1:45" s="42" customFormat="1" ht="71.25" hidden="1" customHeight="1">
      <c r="A146" s="167"/>
      <c r="B146" s="94" t="s">
        <v>149</v>
      </c>
      <c r="C146" s="43"/>
      <c r="D146" s="43"/>
      <c r="E146" s="83"/>
      <c r="F146" s="92"/>
      <c r="G146" s="175"/>
      <c r="H146" s="175"/>
      <c r="I146" s="55"/>
      <c r="J146" s="55"/>
      <c r="K146" s="55"/>
      <c r="L146" s="84"/>
      <c r="M146" s="55"/>
      <c r="N146" s="55"/>
      <c r="O146" s="55"/>
      <c r="P146" s="175"/>
      <c r="Q146" s="55"/>
      <c r="R146" s="55"/>
      <c r="S146" s="55"/>
      <c r="T146" s="171"/>
      <c r="U146" s="56"/>
      <c r="V146" s="175"/>
      <c r="W146" s="55"/>
      <c r="X146" s="175"/>
      <c r="Y146" s="175"/>
      <c r="Z146" s="175"/>
      <c r="AA146" s="92">
        <f>F146</f>
        <v>0</v>
      </c>
      <c r="AB146" s="175">
        <f>G146</f>
        <v>0</v>
      </c>
      <c r="AC146" s="175"/>
      <c r="AD146" s="175"/>
      <c r="AE146" s="47"/>
      <c r="AF146" s="48"/>
      <c r="AG146" s="85"/>
      <c r="AJ146" s="40"/>
    </row>
    <row r="147" spans="1:45" s="42" customFormat="1" ht="36" customHeight="1">
      <c r="A147" s="167"/>
      <c r="B147" s="95" t="s">
        <v>123</v>
      </c>
      <c r="C147" s="43"/>
      <c r="D147" s="43"/>
      <c r="E147" s="83"/>
      <c r="F147" s="92"/>
      <c r="G147" s="175"/>
      <c r="H147" s="175"/>
      <c r="I147" s="55"/>
      <c r="J147" s="55"/>
      <c r="K147" s="55"/>
      <c r="L147" s="84"/>
      <c r="M147" s="55"/>
      <c r="N147" s="55"/>
      <c r="O147" s="55"/>
      <c r="P147" s="175"/>
      <c r="Q147" s="55"/>
      <c r="R147" s="55"/>
      <c r="S147" s="55"/>
      <c r="T147" s="171"/>
      <c r="U147" s="56"/>
      <c r="V147" s="175"/>
      <c r="W147" s="55"/>
      <c r="X147" s="175"/>
      <c r="Y147" s="175"/>
      <c r="Z147" s="175"/>
      <c r="AA147" s="55"/>
      <c r="AB147" s="175"/>
      <c r="AC147" s="175"/>
      <c r="AD147" s="175"/>
      <c r="AE147" s="47"/>
      <c r="AF147" s="48"/>
      <c r="AG147" s="85"/>
      <c r="AJ147" s="40"/>
    </row>
    <row r="148" spans="1:45" s="42" customFormat="1" ht="67.5" customHeight="1">
      <c r="A148" s="169">
        <v>7</v>
      </c>
      <c r="B148" s="94" t="s">
        <v>150</v>
      </c>
      <c r="C148" s="43"/>
      <c r="D148" s="43"/>
      <c r="E148" s="83"/>
      <c r="F148" s="92">
        <v>29.3</v>
      </c>
      <c r="G148" s="175">
        <v>25000</v>
      </c>
      <c r="H148" s="175"/>
      <c r="I148" s="55"/>
      <c r="J148" s="55"/>
      <c r="K148" s="55"/>
      <c r="L148" s="84"/>
      <c r="M148" s="55"/>
      <c r="N148" s="55"/>
      <c r="O148" s="55"/>
      <c r="P148" s="175"/>
      <c r="Q148" s="55"/>
      <c r="R148" s="55"/>
      <c r="S148" s="55"/>
      <c r="T148" s="171"/>
      <c r="U148" s="56"/>
      <c r="V148" s="175"/>
      <c r="W148" s="55"/>
      <c r="X148" s="175"/>
      <c r="Y148" s="175"/>
      <c r="Z148" s="175"/>
      <c r="AA148" s="92">
        <f>F148</f>
        <v>29.3</v>
      </c>
      <c r="AB148" s="175">
        <f>G148</f>
        <v>25000</v>
      </c>
      <c r="AC148" s="175"/>
      <c r="AD148" s="175"/>
      <c r="AE148" s="47"/>
      <c r="AF148" s="48"/>
      <c r="AG148" s="85"/>
      <c r="AJ148" s="40"/>
    </row>
    <row r="149" spans="1:45" s="42" customFormat="1" ht="75.75" customHeight="1">
      <c r="A149" s="169">
        <v>8</v>
      </c>
      <c r="B149" s="159" t="s">
        <v>193</v>
      </c>
      <c r="C149" s="33"/>
      <c r="D149" s="100"/>
      <c r="E149" s="100"/>
      <c r="F149" s="175">
        <v>50.7</v>
      </c>
      <c r="G149" s="160">
        <v>300000</v>
      </c>
      <c r="H149" s="173"/>
      <c r="I149" s="157"/>
      <c r="J149" s="157"/>
      <c r="K149" s="157"/>
      <c r="L149" s="158"/>
      <c r="M149" s="157"/>
      <c r="N149" s="157"/>
      <c r="O149" s="157"/>
      <c r="P149" s="173"/>
      <c r="Q149" s="157"/>
      <c r="R149" s="157"/>
      <c r="S149" s="157"/>
      <c r="T149" s="174"/>
      <c r="U149" s="73"/>
      <c r="V149" s="173"/>
      <c r="W149" s="157"/>
      <c r="X149" s="173"/>
      <c r="Y149" s="173"/>
      <c r="Z149" s="173"/>
      <c r="AA149" s="92">
        <f t="shared" ref="AA149:AA150" si="3">F149</f>
        <v>50.7</v>
      </c>
      <c r="AB149" s="175">
        <f t="shared" ref="AB149:AB150" si="4">G149</f>
        <v>300000</v>
      </c>
      <c r="AC149" s="173"/>
      <c r="AD149" s="173"/>
      <c r="AE149" s="47"/>
      <c r="AF149" s="48"/>
      <c r="AG149" s="85"/>
      <c r="AJ149" s="40"/>
    </row>
    <row r="150" spans="1:45" s="42" customFormat="1" ht="51.75" customHeight="1">
      <c r="A150" s="169">
        <v>9</v>
      </c>
      <c r="B150" s="159" t="s">
        <v>194</v>
      </c>
      <c r="C150" s="33"/>
      <c r="D150" s="100"/>
      <c r="E150" s="100"/>
      <c r="F150" s="175">
        <v>77.8</v>
      </c>
      <c r="G150" s="160">
        <v>252585.3</v>
      </c>
      <c r="H150" s="173"/>
      <c r="I150" s="157"/>
      <c r="J150" s="157"/>
      <c r="K150" s="157"/>
      <c r="L150" s="158"/>
      <c r="M150" s="157"/>
      <c r="N150" s="157"/>
      <c r="O150" s="157"/>
      <c r="P150" s="173"/>
      <c r="Q150" s="157"/>
      <c r="R150" s="157"/>
      <c r="S150" s="157"/>
      <c r="T150" s="174"/>
      <c r="U150" s="73"/>
      <c r="V150" s="173"/>
      <c r="W150" s="157"/>
      <c r="X150" s="173"/>
      <c r="Y150" s="173"/>
      <c r="Z150" s="173"/>
      <c r="AA150" s="92">
        <f t="shared" si="3"/>
        <v>77.8</v>
      </c>
      <c r="AB150" s="175">
        <f t="shared" si="4"/>
        <v>252585.3</v>
      </c>
      <c r="AC150" s="173"/>
      <c r="AD150" s="173"/>
      <c r="AE150" s="47"/>
      <c r="AF150" s="48"/>
      <c r="AG150" s="85"/>
      <c r="AJ150" s="40"/>
    </row>
    <row r="151" spans="1:45" s="97" customFormat="1" ht="42" customHeight="1">
      <c r="A151" s="29" t="s">
        <v>33</v>
      </c>
      <c r="B151" s="202" t="s">
        <v>151</v>
      </c>
      <c r="C151" s="202"/>
      <c r="D151" s="202"/>
      <c r="E151" s="202"/>
      <c r="F151" s="202"/>
      <c r="G151" s="202"/>
      <c r="H151" s="202"/>
      <c r="I151" s="202"/>
      <c r="J151" s="202"/>
      <c r="K151" s="202"/>
      <c r="L151" s="202"/>
      <c r="M151" s="202"/>
      <c r="N151" s="202"/>
      <c r="O151" s="202"/>
      <c r="P151" s="202"/>
      <c r="Q151" s="202"/>
      <c r="R151" s="202"/>
      <c r="S151" s="202"/>
      <c r="T151" s="202"/>
      <c r="U151" s="202"/>
      <c r="V151" s="202"/>
      <c r="W151" s="202"/>
      <c r="X151" s="202"/>
      <c r="Y151" s="202"/>
      <c r="Z151" s="202"/>
      <c r="AA151" s="202"/>
      <c r="AB151" s="202"/>
      <c r="AC151" s="202"/>
      <c r="AD151" s="202"/>
      <c r="AE151" s="202"/>
      <c r="AF151" s="96"/>
      <c r="AM151" s="97" t="s">
        <v>23</v>
      </c>
    </row>
    <row r="152" spans="1:45" s="97" customFormat="1" ht="38.25" customHeight="1">
      <c r="A152" s="31"/>
      <c r="B152" s="213" t="s">
        <v>27</v>
      </c>
      <c r="C152" s="213"/>
      <c r="D152" s="98"/>
      <c r="E152" s="34">
        <f>E167+E164+E177</f>
        <v>7.2</v>
      </c>
      <c r="F152" s="98"/>
      <c r="G152" s="34">
        <f>G155+G165+G168+G171+G175+G178+G182</f>
        <v>988710.8</v>
      </c>
      <c r="H152" s="98"/>
      <c r="I152" s="98"/>
      <c r="J152" s="98"/>
      <c r="K152" s="98"/>
      <c r="L152" s="98"/>
      <c r="M152" s="98"/>
      <c r="N152" s="98"/>
      <c r="O152" s="98"/>
      <c r="P152" s="98"/>
      <c r="Q152" s="98"/>
      <c r="R152" s="98"/>
      <c r="S152" s="98"/>
      <c r="T152" s="98"/>
      <c r="U152" s="98"/>
      <c r="V152" s="34">
        <f>V165+V168+V171+V175</f>
        <v>88921.3</v>
      </c>
      <c r="W152" s="34">
        <f>W168</f>
        <v>1.5</v>
      </c>
      <c r="X152" s="35"/>
      <c r="Y152" s="34">
        <f>Y165+Y168+Y171+Y175</f>
        <v>215986.5</v>
      </c>
      <c r="Z152" s="34">
        <f>Z177</f>
        <v>2.2999999999999998</v>
      </c>
      <c r="AA152" s="98"/>
      <c r="AB152" s="34">
        <f>AB154+AB159+AB160+AB161+AB162+AB163+AB177+AB180+AB181</f>
        <v>483803</v>
      </c>
      <c r="AC152" s="34">
        <f>AC165</f>
        <v>3.4</v>
      </c>
      <c r="AD152" s="34"/>
      <c r="AE152" s="37">
        <v>200000</v>
      </c>
      <c r="AF152" s="69">
        <f>V152+Y152+AB152+AE152</f>
        <v>988710.8</v>
      </c>
      <c r="AG152" s="164">
        <f>W152+Z152+AC152</f>
        <v>7.1999999999999993</v>
      </c>
    </row>
    <row r="153" spans="1:45" s="97" customFormat="1" ht="30" customHeight="1">
      <c r="A153" s="186" t="s">
        <v>28</v>
      </c>
      <c r="B153" s="186"/>
      <c r="C153" s="98"/>
      <c r="D153" s="98"/>
      <c r="E153" s="34"/>
      <c r="F153" s="98"/>
      <c r="G153" s="34"/>
      <c r="H153" s="98"/>
      <c r="I153" s="98"/>
      <c r="J153" s="98"/>
      <c r="K153" s="98"/>
      <c r="L153" s="98"/>
      <c r="M153" s="98"/>
      <c r="N153" s="98"/>
      <c r="O153" s="98"/>
      <c r="P153" s="98"/>
      <c r="Q153" s="98"/>
      <c r="R153" s="98"/>
      <c r="S153" s="98"/>
      <c r="T153" s="98"/>
      <c r="U153" s="98"/>
      <c r="V153" s="34"/>
      <c r="W153" s="34"/>
      <c r="X153" s="35"/>
      <c r="Y153" s="36"/>
      <c r="Z153" s="34"/>
      <c r="AA153" s="98"/>
      <c r="AB153" s="36"/>
      <c r="AC153" s="34"/>
      <c r="AD153" s="34"/>
      <c r="AE153" s="37"/>
      <c r="AF153" s="69"/>
    </row>
    <row r="154" spans="1:45" s="97" customFormat="1" ht="86.25" customHeight="1">
      <c r="A154" s="169">
        <v>1</v>
      </c>
      <c r="B154" s="75" t="s">
        <v>152</v>
      </c>
      <c r="C154" s="52" t="s">
        <v>30</v>
      </c>
      <c r="D154" s="98"/>
      <c r="E154" s="34"/>
      <c r="F154" s="92">
        <v>24.3</v>
      </c>
      <c r="G154" s="175">
        <v>15715.78853</v>
      </c>
      <c r="H154" s="98"/>
      <c r="I154" s="98"/>
      <c r="J154" s="98"/>
      <c r="K154" s="98"/>
      <c r="L154" s="98"/>
      <c r="M154" s="98"/>
      <c r="N154" s="98"/>
      <c r="O154" s="98"/>
      <c r="P154" s="98"/>
      <c r="Q154" s="98"/>
      <c r="R154" s="98"/>
      <c r="S154" s="98"/>
      <c r="T154" s="98"/>
      <c r="U154" s="98"/>
      <c r="V154" s="34"/>
      <c r="W154" s="34"/>
      <c r="X154" s="35"/>
      <c r="Y154" s="36"/>
      <c r="Z154" s="34"/>
      <c r="AA154" s="92">
        <f>F154</f>
        <v>24.3</v>
      </c>
      <c r="AB154" s="175">
        <f>G154</f>
        <v>15715.78853</v>
      </c>
      <c r="AC154" s="34"/>
      <c r="AD154" s="34"/>
      <c r="AE154" s="37"/>
      <c r="AF154" s="69"/>
      <c r="AI154" s="97" t="s">
        <v>34</v>
      </c>
      <c r="AJ154" s="97" t="s">
        <v>31</v>
      </c>
    </row>
    <row r="155" spans="1:45" s="97" customFormat="1" ht="33.75" customHeight="1">
      <c r="A155" s="198" t="s">
        <v>36</v>
      </c>
      <c r="B155" s="198"/>
      <c r="C155" s="198"/>
      <c r="D155" s="98"/>
      <c r="E155" s="34"/>
      <c r="F155" s="99">
        <f>F154</f>
        <v>24.3</v>
      </c>
      <c r="G155" s="34">
        <f>G154</f>
        <v>15715.78853</v>
      </c>
      <c r="H155" s="98"/>
      <c r="I155" s="98"/>
      <c r="J155" s="98"/>
      <c r="K155" s="98"/>
      <c r="L155" s="98"/>
      <c r="M155" s="98"/>
      <c r="N155" s="98"/>
      <c r="O155" s="98"/>
      <c r="P155" s="98"/>
      <c r="Q155" s="98"/>
      <c r="R155" s="98"/>
      <c r="S155" s="98"/>
      <c r="T155" s="98"/>
      <c r="U155" s="98"/>
      <c r="V155" s="34"/>
      <c r="W155" s="34"/>
      <c r="X155" s="35"/>
      <c r="Y155" s="36"/>
      <c r="Z155" s="34"/>
      <c r="AA155" s="99">
        <f>AA154</f>
        <v>24.3</v>
      </c>
      <c r="AB155" s="36">
        <f>AB154</f>
        <v>15715.78853</v>
      </c>
      <c r="AC155" s="34"/>
      <c r="AD155" s="34"/>
      <c r="AE155" s="37"/>
      <c r="AF155" s="69"/>
    </row>
    <row r="156" spans="1:45" s="97" customFormat="1" ht="28.5" customHeight="1">
      <c r="A156" s="186" t="s">
        <v>37</v>
      </c>
      <c r="B156" s="186"/>
      <c r="C156" s="100"/>
      <c r="D156" s="100"/>
      <c r="E156" s="100"/>
      <c r="F156" s="100"/>
      <c r="G156" s="100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4"/>
      <c r="U156" s="101"/>
      <c r="V156" s="34"/>
      <c r="W156" s="35"/>
      <c r="X156" s="35"/>
      <c r="Y156" s="102"/>
      <c r="Z156" s="35"/>
      <c r="AA156" s="35"/>
      <c r="AB156" s="102"/>
      <c r="AC156" s="35"/>
      <c r="AD156" s="35"/>
      <c r="AE156" s="103"/>
      <c r="AF156" s="104"/>
    </row>
    <row r="157" spans="1:45" s="97" customFormat="1" ht="78" customHeight="1">
      <c r="A157" s="169">
        <v>2</v>
      </c>
      <c r="B157" s="75" t="s">
        <v>153</v>
      </c>
      <c r="C157" s="52" t="s">
        <v>42</v>
      </c>
      <c r="D157" s="100"/>
      <c r="E157" s="100"/>
      <c r="F157" s="100"/>
      <c r="G157" s="175">
        <v>14103.8</v>
      </c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4"/>
      <c r="U157" s="101"/>
      <c r="V157" s="175">
        <f>G157</f>
        <v>14103.8</v>
      </c>
      <c r="W157" s="35"/>
      <c r="X157" s="35"/>
      <c r="Y157" s="102"/>
      <c r="Z157" s="35"/>
      <c r="AA157" s="35"/>
      <c r="AB157" s="102"/>
      <c r="AC157" s="35"/>
      <c r="AD157" s="35"/>
      <c r="AE157" s="103"/>
      <c r="AF157" s="104"/>
      <c r="AL157" s="97" t="s">
        <v>31</v>
      </c>
    </row>
    <row r="158" spans="1:45" s="97" customFormat="1" ht="85.5" customHeight="1">
      <c r="A158" s="169">
        <v>3</v>
      </c>
      <c r="B158" s="75" t="s">
        <v>154</v>
      </c>
      <c r="C158" s="52" t="s">
        <v>42</v>
      </c>
      <c r="D158" s="100"/>
      <c r="E158" s="100"/>
      <c r="F158" s="100"/>
      <c r="G158" s="175">
        <f>10000-1900+5000</f>
        <v>13100</v>
      </c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4"/>
      <c r="U158" s="101"/>
      <c r="V158" s="175">
        <f>G158-Y158</f>
        <v>13100</v>
      </c>
      <c r="W158" s="35"/>
      <c r="X158" s="35"/>
      <c r="Y158" s="175"/>
      <c r="Z158" s="35"/>
      <c r="AA158" s="35"/>
      <c r="AB158" s="102"/>
      <c r="AC158" s="35"/>
      <c r="AD158" s="35"/>
      <c r="AE158" s="103"/>
      <c r="AF158" s="104"/>
      <c r="AI158" s="97" t="s">
        <v>23</v>
      </c>
      <c r="AQ158" s="97" t="s">
        <v>133</v>
      </c>
    </row>
    <row r="159" spans="1:45" s="97" customFormat="1" ht="105.75" customHeight="1">
      <c r="A159" s="169">
        <v>4</v>
      </c>
      <c r="B159" s="75" t="s">
        <v>155</v>
      </c>
      <c r="C159" s="52" t="s">
        <v>30</v>
      </c>
      <c r="D159" s="105">
        <f>(3.16-2.55)+(11.795-5)</f>
        <v>7.4050000000000002</v>
      </c>
      <c r="E159" s="72">
        <f>(3.16-2.55)+(11.795-5)</f>
        <v>7.4050000000000002</v>
      </c>
      <c r="F159" s="100"/>
      <c r="G159" s="106">
        <v>112714.24314000001</v>
      </c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4"/>
      <c r="U159" s="101"/>
      <c r="V159" s="175"/>
      <c r="W159" s="35"/>
      <c r="X159" s="35"/>
      <c r="Y159" s="35"/>
      <c r="Z159" s="72">
        <f>E159</f>
        <v>7.4050000000000002</v>
      </c>
      <c r="AA159" s="35"/>
      <c r="AB159" s="175">
        <f>G159</f>
        <v>112714.24314000001</v>
      </c>
      <c r="AC159" s="72"/>
      <c r="AD159" s="175"/>
      <c r="AE159" s="47"/>
      <c r="AF159" s="48"/>
      <c r="AG159" s="97" t="s">
        <v>34</v>
      </c>
      <c r="AM159" s="97" t="s">
        <v>31</v>
      </c>
      <c r="AN159" s="97" t="s">
        <v>133</v>
      </c>
      <c r="AS159" s="97" t="s">
        <v>133</v>
      </c>
    </row>
    <row r="160" spans="1:45" s="97" customFormat="1" ht="69.75" customHeight="1">
      <c r="A160" s="169">
        <v>5</v>
      </c>
      <c r="B160" s="75" t="s">
        <v>156</v>
      </c>
      <c r="C160" s="52" t="s">
        <v>30</v>
      </c>
      <c r="D160" s="105">
        <f>3.3</f>
        <v>3.3</v>
      </c>
      <c r="E160" s="72">
        <f>3.3</f>
        <v>3.3</v>
      </c>
      <c r="F160" s="100"/>
      <c r="G160" s="106">
        <v>60781.286719999996</v>
      </c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4"/>
      <c r="U160" s="101"/>
      <c r="V160" s="175"/>
      <c r="W160" s="35"/>
      <c r="X160" s="35"/>
      <c r="Y160" s="35"/>
      <c r="Z160" s="72">
        <f>E160</f>
        <v>3.3</v>
      </c>
      <c r="AA160" s="35"/>
      <c r="AB160" s="175">
        <f>G160</f>
        <v>60781.286719999996</v>
      </c>
      <c r="AC160" s="175"/>
      <c r="AD160" s="175"/>
      <c r="AE160" s="47"/>
      <c r="AF160" s="48"/>
    </row>
    <row r="161" spans="1:44" s="97" customFormat="1" ht="84.75" customHeight="1">
      <c r="A161" s="169">
        <v>6</v>
      </c>
      <c r="B161" s="75" t="s">
        <v>157</v>
      </c>
      <c r="C161" s="52" t="s">
        <v>30</v>
      </c>
      <c r="D161" s="105">
        <f>(8.45-6.85)+0.2</f>
        <v>1.7999999999999996</v>
      </c>
      <c r="E161" s="72">
        <f>(8.45-6.85)+0.2</f>
        <v>1.7999999999999996</v>
      </c>
      <c r="F161" s="100"/>
      <c r="G161" s="106">
        <v>19705.115280000002</v>
      </c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4"/>
      <c r="U161" s="101"/>
      <c r="V161" s="175"/>
      <c r="W161" s="35"/>
      <c r="X161" s="35"/>
      <c r="Y161" s="35"/>
      <c r="Z161" s="72">
        <f>E161</f>
        <v>1.7999999999999996</v>
      </c>
      <c r="AA161" s="35"/>
      <c r="AB161" s="175">
        <f>G161</f>
        <v>19705.115280000002</v>
      </c>
      <c r="AC161" s="175"/>
      <c r="AD161" s="175"/>
      <c r="AE161" s="47"/>
      <c r="AF161" s="48"/>
    </row>
    <row r="162" spans="1:44" s="97" customFormat="1" ht="72" customHeight="1">
      <c r="A162" s="169">
        <v>7</v>
      </c>
      <c r="B162" s="75" t="s">
        <v>158</v>
      </c>
      <c r="C162" s="52" t="s">
        <v>30</v>
      </c>
      <c r="D162" s="105">
        <f>1.9</f>
        <v>1.9</v>
      </c>
      <c r="E162" s="72">
        <f>1.9</f>
        <v>1.9</v>
      </c>
      <c r="F162" s="100"/>
      <c r="G162" s="106">
        <v>59918.302190000002</v>
      </c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4"/>
      <c r="U162" s="101"/>
      <c r="V162" s="175"/>
      <c r="W162" s="35"/>
      <c r="X162" s="35"/>
      <c r="Y162" s="35"/>
      <c r="Z162" s="72">
        <f>E162</f>
        <v>1.9</v>
      </c>
      <c r="AA162" s="35"/>
      <c r="AB162" s="175">
        <f>G162</f>
        <v>59918.302190000002</v>
      </c>
      <c r="AC162" s="175"/>
      <c r="AD162" s="175"/>
      <c r="AE162" s="47"/>
      <c r="AF162" s="48"/>
    </row>
    <row r="163" spans="1:44" s="97" customFormat="1" ht="69" customHeight="1">
      <c r="A163" s="169">
        <v>8</v>
      </c>
      <c r="B163" s="75" t="s">
        <v>159</v>
      </c>
      <c r="C163" s="52" t="s">
        <v>42</v>
      </c>
      <c r="D163" s="105"/>
      <c r="E163" s="72"/>
      <c r="F163" s="100"/>
      <c r="G163" s="106">
        <v>67795.141990000004</v>
      </c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4"/>
      <c r="U163" s="101"/>
      <c r="V163" s="175"/>
      <c r="W163" s="35"/>
      <c r="X163" s="35"/>
      <c r="Y163" s="175">
        <f>G163</f>
        <v>67795.141990000004</v>
      </c>
      <c r="Z163" s="35"/>
      <c r="AA163" s="35"/>
      <c r="AB163" s="80"/>
      <c r="AC163" s="175"/>
      <c r="AD163" s="175"/>
      <c r="AE163" s="47"/>
      <c r="AF163" s="48"/>
    </row>
    <row r="164" spans="1:44" s="97" customFormat="1" ht="54" customHeight="1">
      <c r="A164" s="169">
        <v>9</v>
      </c>
      <c r="B164" s="75" t="s">
        <v>160</v>
      </c>
      <c r="C164" s="52" t="s">
        <v>42</v>
      </c>
      <c r="D164" s="105"/>
      <c r="E164" s="72">
        <v>3.4</v>
      </c>
      <c r="F164" s="100"/>
      <c r="G164" s="106">
        <v>200000</v>
      </c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4"/>
      <c r="U164" s="101"/>
      <c r="V164" s="175"/>
      <c r="W164" s="35"/>
      <c r="X164" s="35"/>
      <c r="Y164" s="173"/>
      <c r="Z164" s="35"/>
      <c r="AA164" s="35"/>
      <c r="AB164" s="80"/>
      <c r="AC164" s="171">
        <f>E164</f>
        <v>3.4</v>
      </c>
      <c r="AD164" s="175"/>
      <c r="AE164" s="47">
        <f>G164</f>
        <v>200000</v>
      </c>
      <c r="AF164" s="48"/>
    </row>
    <row r="165" spans="1:44" s="97" customFormat="1" ht="30.75" customHeight="1">
      <c r="A165" s="186" t="s">
        <v>48</v>
      </c>
      <c r="B165" s="186"/>
      <c r="C165" s="52"/>
      <c r="D165" s="100"/>
      <c r="E165" s="34">
        <f>E164</f>
        <v>3.4</v>
      </c>
      <c r="F165" s="100"/>
      <c r="G165" s="34">
        <f>SUM(G157:G164)</f>
        <v>548117.88931999996</v>
      </c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4"/>
      <c r="U165" s="101"/>
      <c r="V165" s="34">
        <f>SUM(V157:V163)</f>
        <v>27203.8</v>
      </c>
      <c r="W165" s="35"/>
      <c r="X165" s="35"/>
      <c r="Y165" s="36">
        <f>SUM(Y157:Y163)</f>
        <v>67795.141990000004</v>
      </c>
      <c r="Z165" s="34"/>
      <c r="AA165" s="34"/>
      <c r="AB165" s="34">
        <f>SUM(AB157:AB163)</f>
        <v>253118.94733</v>
      </c>
      <c r="AC165" s="34">
        <f>AC164</f>
        <v>3.4</v>
      </c>
      <c r="AD165" s="34"/>
      <c r="AE165" s="37">
        <f>AE164</f>
        <v>200000</v>
      </c>
      <c r="AF165" s="69"/>
    </row>
    <row r="166" spans="1:44" s="97" customFormat="1" ht="33.75" customHeight="1">
      <c r="A166" s="166"/>
      <c r="B166" s="165" t="s">
        <v>49</v>
      </c>
      <c r="C166" s="52"/>
      <c r="D166" s="100"/>
      <c r="E166" s="100"/>
      <c r="F166" s="100"/>
      <c r="G166" s="34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4"/>
      <c r="U166" s="101"/>
      <c r="V166" s="34"/>
      <c r="W166" s="35"/>
      <c r="X166" s="35"/>
      <c r="Y166" s="36"/>
      <c r="Z166" s="34"/>
      <c r="AA166" s="34"/>
      <c r="AB166" s="36"/>
      <c r="AC166" s="34"/>
      <c r="AD166" s="34"/>
      <c r="AE166" s="37"/>
      <c r="AF166" s="69"/>
    </row>
    <row r="167" spans="1:44" s="97" customFormat="1" ht="49.5" customHeight="1">
      <c r="A167" s="169">
        <v>10</v>
      </c>
      <c r="B167" s="75" t="s">
        <v>161</v>
      </c>
      <c r="C167" s="52" t="s">
        <v>30</v>
      </c>
      <c r="D167" s="100"/>
      <c r="E167" s="72">
        <v>1.5</v>
      </c>
      <c r="F167" s="100"/>
      <c r="G167" s="175">
        <f>V167+Y167</f>
        <v>165128.68969</v>
      </c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4"/>
      <c r="U167" s="101"/>
      <c r="V167" s="175">
        <f>28000+2400</f>
        <v>30400</v>
      </c>
      <c r="W167" s="72">
        <f>E167</f>
        <v>1.5</v>
      </c>
      <c r="X167" s="35"/>
      <c r="Y167" s="175">
        <v>134728.68969</v>
      </c>
      <c r="Z167" s="107"/>
      <c r="AA167" s="175"/>
      <c r="AB167" s="173"/>
      <c r="AC167" s="34"/>
      <c r="AD167" s="34"/>
      <c r="AE167" s="37"/>
      <c r="AF167" s="69"/>
    </row>
    <row r="168" spans="1:44" s="97" customFormat="1" ht="30" customHeight="1">
      <c r="A168" s="186" t="s">
        <v>52</v>
      </c>
      <c r="B168" s="186"/>
      <c r="C168" s="52"/>
      <c r="D168" s="100"/>
      <c r="E168" s="34">
        <f>E167</f>
        <v>1.5</v>
      </c>
      <c r="F168" s="100"/>
      <c r="G168" s="34">
        <f>G167</f>
        <v>165128.68969</v>
      </c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4"/>
      <c r="U168" s="101"/>
      <c r="V168" s="34">
        <f>V167</f>
        <v>30400</v>
      </c>
      <c r="W168" s="34">
        <f>W167</f>
        <v>1.5</v>
      </c>
      <c r="X168" s="100"/>
      <c r="Y168" s="34">
        <f>Y167</f>
        <v>134728.68969</v>
      </c>
      <c r="Z168" s="34"/>
      <c r="AA168" s="34"/>
      <c r="AB168" s="36"/>
      <c r="AC168" s="34"/>
      <c r="AD168" s="34"/>
      <c r="AE168" s="37"/>
      <c r="AF168" s="69"/>
    </row>
    <row r="169" spans="1:44" s="97" customFormat="1" ht="29.25" customHeight="1">
      <c r="A169" s="166"/>
      <c r="B169" s="165" t="s">
        <v>162</v>
      </c>
      <c r="C169" s="52"/>
      <c r="D169" s="100"/>
      <c r="E169" s="100"/>
      <c r="F169" s="100"/>
      <c r="G169" s="34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4"/>
      <c r="U169" s="101"/>
      <c r="V169" s="34"/>
      <c r="W169" s="35"/>
      <c r="X169" s="35"/>
      <c r="Y169" s="102"/>
      <c r="Z169" s="35"/>
      <c r="AA169" s="35"/>
      <c r="AB169" s="102"/>
      <c r="AC169" s="35"/>
      <c r="AD169" s="35"/>
      <c r="AE169" s="103"/>
      <c r="AF169" s="104"/>
      <c r="AR169" s="97" t="s">
        <v>23</v>
      </c>
    </row>
    <row r="170" spans="1:44" s="97" customFormat="1" ht="49.5" customHeight="1">
      <c r="A170" s="169">
        <v>11</v>
      </c>
      <c r="B170" s="75" t="s">
        <v>163</v>
      </c>
      <c r="C170" s="52" t="s">
        <v>42</v>
      </c>
      <c r="D170" s="100"/>
      <c r="E170" s="100"/>
      <c r="F170" s="100"/>
      <c r="G170" s="175">
        <f>32554+500-2400</f>
        <v>30654</v>
      </c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4"/>
      <c r="U170" s="101"/>
      <c r="V170" s="175">
        <f>G170</f>
        <v>30654</v>
      </c>
      <c r="W170" s="35"/>
      <c r="X170" s="35"/>
      <c r="Y170" s="102"/>
      <c r="Z170" s="35"/>
      <c r="AA170" s="35"/>
      <c r="AB170" s="102"/>
      <c r="AC170" s="35"/>
      <c r="AD170" s="35"/>
      <c r="AE170" s="103"/>
      <c r="AF170" s="104"/>
      <c r="AG170" s="97" t="s">
        <v>34</v>
      </c>
    </row>
    <row r="171" spans="1:44" s="97" customFormat="1" ht="33.75" customHeight="1">
      <c r="A171" s="186" t="s">
        <v>164</v>
      </c>
      <c r="B171" s="186"/>
      <c r="C171" s="100"/>
      <c r="D171" s="100"/>
      <c r="E171" s="100"/>
      <c r="F171" s="100"/>
      <c r="G171" s="34">
        <f>G170</f>
        <v>30654</v>
      </c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4"/>
      <c r="U171" s="101"/>
      <c r="V171" s="34">
        <f>V170</f>
        <v>30654</v>
      </c>
      <c r="W171" s="35"/>
      <c r="X171" s="35"/>
      <c r="Y171" s="102"/>
      <c r="Z171" s="35"/>
      <c r="AA171" s="35"/>
      <c r="AB171" s="102"/>
      <c r="AC171" s="35"/>
      <c r="AD171" s="35"/>
      <c r="AE171" s="103"/>
      <c r="AF171" s="104"/>
    </row>
    <row r="172" spans="1:44" s="97" customFormat="1" ht="31.5" customHeight="1">
      <c r="A172" s="186" t="s">
        <v>123</v>
      </c>
      <c r="B172" s="186"/>
      <c r="C172" s="100"/>
      <c r="D172" s="100"/>
      <c r="E172" s="100"/>
      <c r="F172" s="100"/>
      <c r="G172" s="100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4"/>
      <c r="U172" s="101"/>
      <c r="V172" s="34"/>
      <c r="W172" s="35"/>
      <c r="X172" s="35"/>
      <c r="Y172" s="102"/>
      <c r="Z172" s="35"/>
      <c r="AA172" s="35"/>
      <c r="AB172" s="102"/>
      <c r="AC172" s="35"/>
      <c r="AD172" s="35"/>
      <c r="AE172" s="103"/>
      <c r="AF172" s="104"/>
      <c r="AI172" s="97" t="s">
        <v>40</v>
      </c>
    </row>
    <row r="173" spans="1:44" s="97" customFormat="1" ht="48.75" customHeight="1">
      <c r="A173" s="169">
        <v>12</v>
      </c>
      <c r="B173" s="108" t="s">
        <v>165</v>
      </c>
      <c r="C173" s="52" t="s">
        <v>30</v>
      </c>
      <c r="D173" s="100"/>
      <c r="E173" s="100"/>
      <c r="F173" s="100"/>
      <c r="G173" s="175">
        <v>663.5</v>
      </c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175">
        <f>G173</f>
        <v>663.5</v>
      </c>
      <c r="W173" s="35"/>
      <c r="X173" s="34"/>
      <c r="Y173" s="173"/>
      <c r="Z173" s="35"/>
      <c r="AA173" s="35"/>
      <c r="AB173" s="102"/>
      <c r="AC173" s="35"/>
      <c r="AD173" s="35"/>
      <c r="AE173" s="103"/>
      <c r="AF173" s="104"/>
    </row>
    <row r="174" spans="1:44" s="97" customFormat="1" ht="48.75" customHeight="1">
      <c r="A174" s="109">
        <v>13</v>
      </c>
      <c r="B174" s="108" t="s">
        <v>166</v>
      </c>
      <c r="C174" s="52" t="s">
        <v>30</v>
      </c>
      <c r="D174" s="100"/>
      <c r="E174" s="100"/>
      <c r="F174" s="100"/>
      <c r="G174" s="175">
        <v>13462.668320000001</v>
      </c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175"/>
      <c r="W174" s="35"/>
      <c r="X174" s="34"/>
      <c r="Y174" s="173">
        <f>G174</f>
        <v>13462.668320000001</v>
      </c>
      <c r="Z174" s="35"/>
      <c r="AA174" s="35"/>
      <c r="AB174" s="102"/>
      <c r="AC174" s="35"/>
      <c r="AD174" s="35"/>
      <c r="AE174" s="103"/>
      <c r="AF174" s="104"/>
    </row>
    <row r="175" spans="1:44" s="97" customFormat="1" ht="34.5" customHeight="1">
      <c r="A175" s="186" t="s">
        <v>130</v>
      </c>
      <c r="B175" s="186"/>
      <c r="C175" s="186"/>
      <c r="D175" s="100"/>
      <c r="E175" s="100"/>
      <c r="F175" s="100"/>
      <c r="G175" s="34">
        <f>G173+G174</f>
        <v>14126.168320000001</v>
      </c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34">
        <f>V173</f>
        <v>663.5</v>
      </c>
      <c r="W175" s="35"/>
      <c r="X175" s="35"/>
      <c r="Y175" s="36">
        <f>Y174</f>
        <v>13462.668320000001</v>
      </c>
      <c r="Z175" s="35"/>
      <c r="AA175" s="35"/>
      <c r="AB175" s="102"/>
      <c r="AC175" s="35"/>
      <c r="AD175" s="35"/>
      <c r="AE175" s="103"/>
      <c r="AF175" s="104"/>
    </row>
    <row r="176" spans="1:44" s="97" customFormat="1" ht="34.5" customHeight="1">
      <c r="A176" s="186" t="s">
        <v>196</v>
      </c>
      <c r="B176" s="186"/>
      <c r="C176" s="59"/>
      <c r="D176" s="98"/>
      <c r="E176" s="34"/>
      <c r="F176" s="34"/>
      <c r="G176" s="34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4"/>
      <c r="W176" s="35"/>
      <c r="X176" s="35"/>
      <c r="Y176" s="36"/>
      <c r="Z176" s="35"/>
      <c r="AA176" s="35"/>
      <c r="AB176" s="102"/>
      <c r="AC176" s="35"/>
      <c r="AD176" s="35"/>
      <c r="AE176" s="103"/>
      <c r="AF176" s="104"/>
    </row>
    <row r="177" spans="1:39" s="97" customFormat="1" ht="47.25" customHeight="1">
      <c r="A177" s="169">
        <v>14</v>
      </c>
      <c r="B177" s="108" t="s">
        <v>197</v>
      </c>
      <c r="C177" s="52" t="s">
        <v>30</v>
      </c>
      <c r="D177" s="59"/>
      <c r="E177" s="171">
        <v>2.2999999999999998</v>
      </c>
      <c r="F177" s="34"/>
      <c r="G177" s="175">
        <v>170000</v>
      </c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4"/>
      <c r="W177" s="35"/>
      <c r="X177" s="35"/>
      <c r="Y177" s="36"/>
      <c r="Z177" s="171">
        <f>E177</f>
        <v>2.2999999999999998</v>
      </c>
      <c r="AA177" s="34"/>
      <c r="AB177" s="175">
        <f>G177</f>
        <v>170000</v>
      </c>
      <c r="AC177" s="35"/>
      <c r="AD177" s="35"/>
      <c r="AE177" s="103"/>
      <c r="AF177" s="104"/>
    </row>
    <row r="178" spans="1:39" s="97" customFormat="1" ht="36.75" customHeight="1">
      <c r="A178" s="186" t="s">
        <v>136</v>
      </c>
      <c r="B178" s="186"/>
      <c r="C178" s="52"/>
      <c r="D178" s="59"/>
      <c r="E178" s="101">
        <f>E177</f>
        <v>2.2999999999999998</v>
      </c>
      <c r="F178" s="34"/>
      <c r="G178" s="34">
        <f>G177</f>
        <v>170000</v>
      </c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4"/>
      <c r="W178" s="35"/>
      <c r="X178" s="35"/>
      <c r="Y178" s="36"/>
      <c r="Z178" s="101">
        <f>Z177</f>
        <v>2.2999999999999998</v>
      </c>
      <c r="AA178" s="34"/>
      <c r="AB178" s="34">
        <f>AB177</f>
        <v>170000</v>
      </c>
      <c r="AC178" s="35"/>
      <c r="AD178" s="35"/>
      <c r="AE178" s="103"/>
      <c r="AF178" s="104"/>
    </row>
    <row r="179" spans="1:39" s="97" customFormat="1" ht="37.5" customHeight="1">
      <c r="A179" s="186" t="s">
        <v>137</v>
      </c>
      <c r="B179" s="186"/>
      <c r="C179" s="165"/>
      <c r="D179" s="100"/>
      <c r="E179" s="100"/>
      <c r="F179" s="100"/>
      <c r="G179" s="34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4"/>
      <c r="W179" s="35"/>
      <c r="X179" s="35"/>
      <c r="Y179" s="34"/>
      <c r="Z179" s="35"/>
      <c r="AA179" s="35"/>
      <c r="AB179" s="35"/>
      <c r="AC179" s="35"/>
      <c r="AD179" s="35"/>
      <c r="AE179" s="103"/>
      <c r="AF179" s="104"/>
    </row>
    <row r="180" spans="1:39" s="97" customFormat="1" ht="90.75" customHeight="1">
      <c r="A180" s="109">
        <v>15</v>
      </c>
      <c r="B180" s="108" t="s">
        <v>195</v>
      </c>
      <c r="C180" s="52" t="s">
        <v>42</v>
      </c>
      <c r="D180" s="100"/>
      <c r="E180" s="100"/>
      <c r="F180" s="100"/>
      <c r="G180" s="175">
        <v>29968.264139999999</v>
      </c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4"/>
      <c r="W180" s="35"/>
      <c r="X180" s="35"/>
      <c r="Y180" s="34"/>
      <c r="Z180" s="35"/>
      <c r="AA180" s="35"/>
      <c r="AB180" s="175">
        <f>G180</f>
        <v>29968.264139999999</v>
      </c>
      <c r="AC180" s="35"/>
      <c r="AD180" s="35"/>
      <c r="AE180" s="103"/>
      <c r="AF180" s="104"/>
    </row>
    <row r="181" spans="1:39" s="97" customFormat="1" ht="66.75" customHeight="1">
      <c r="A181" s="109">
        <v>16</v>
      </c>
      <c r="B181" s="108" t="s">
        <v>167</v>
      </c>
      <c r="C181" s="52" t="s">
        <v>42</v>
      </c>
      <c r="D181" s="100"/>
      <c r="E181" s="100"/>
      <c r="F181" s="100"/>
      <c r="G181" s="175">
        <f>15000</f>
        <v>15000</v>
      </c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4"/>
      <c r="W181" s="35"/>
      <c r="X181" s="35"/>
      <c r="Y181" s="34"/>
      <c r="Z181" s="35"/>
      <c r="AA181" s="35"/>
      <c r="AB181" s="175">
        <f>G181</f>
        <v>15000</v>
      </c>
      <c r="AC181" s="35"/>
      <c r="AD181" s="35"/>
      <c r="AE181" s="103"/>
      <c r="AF181" s="104"/>
    </row>
    <row r="182" spans="1:39" s="97" customFormat="1" ht="36" customHeight="1">
      <c r="A182" s="198" t="s">
        <v>139</v>
      </c>
      <c r="B182" s="198"/>
      <c r="C182" s="198"/>
      <c r="D182" s="100"/>
      <c r="E182" s="100"/>
      <c r="F182" s="100"/>
      <c r="G182" s="34">
        <f>SUM(G180:G181)</f>
        <v>44968.264139999999</v>
      </c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4"/>
      <c r="W182" s="35"/>
      <c r="X182" s="35"/>
      <c r="Y182" s="34"/>
      <c r="Z182" s="35"/>
      <c r="AA182" s="35"/>
      <c r="AB182" s="34">
        <f>SUM(AB180:AB181)</f>
        <v>44968.264139999999</v>
      </c>
      <c r="AC182" s="35"/>
      <c r="AD182" s="35"/>
      <c r="AE182" s="103"/>
      <c r="AF182" s="104"/>
    </row>
    <row r="183" spans="1:39" s="110" customFormat="1" ht="44.25" customHeight="1">
      <c r="A183" s="29" t="s">
        <v>30</v>
      </c>
      <c r="B183" s="202" t="s">
        <v>168</v>
      </c>
      <c r="C183" s="202"/>
      <c r="D183" s="202"/>
      <c r="E183" s="202"/>
      <c r="F183" s="202"/>
      <c r="G183" s="202"/>
      <c r="H183" s="202"/>
      <c r="I183" s="202"/>
      <c r="J183" s="202"/>
      <c r="K183" s="202"/>
      <c r="L183" s="202"/>
      <c r="M183" s="202"/>
      <c r="N183" s="202"/>
      <c r="O183" s="202"/>
      <c r="P183" s="202"/>
      <c r="Q183" s="202"/>
      <c r="R183" s="202"/>
      <c r="S183" s="202"/>
      <c r="T183" s="202"/>
      <c r="U183" s="202"/>
      <c r="V183" s="202"/>
      <c r="W183" s="202"/>
      <c r="X183" s="202"/>
      <c r="Y183" s="202"/>
      <c r="Z183" s="202"/>
      <c r="AA183" s="202"/>
      <c r="AB183" s="202"/>
      <c r="AC183" s="202"/>
      <c r="AD183" s="202"/>
      <c r="AE183" s="202"/>
      <c r="AF183" s="96"/>
      <c r="AI183" s="110" t="s">
        <v>31</v>
      </c>
    </row>
    <row r="184" spans="1:39" s="110" customFormat="1" ht="52.5" customHeight="1">
      <c r="A184" s="31"/>
      <c r="B184" s="213" t="s">
        <v>27</v>
      </c>
      <c r="C184" s="213"/>
      <c r="D184" s="98"/>
      <c r="E184" s="86">
        <f>SUM(E188:E212)</f>
        <v>78.699999999999989</v>
      </c>
      <c r="F184" s="111"/>
      <c r="G184" s="112">
        <f>SUM(G188:G212)</f>
        <v>383800</v>
      </c>
      <c r="H184" s="98"/>
      <c r="I184" s="98"/>
      <c r="J184" s="98"/>
      <c r="K184" s="98"/>
      <c r="L184" s="98"/>
      <c r="M184" s="98"/>
      <c r="N184" s="98"/>
      <c r="O184" s="98"/>
      <c r="P184" s="98"/>
      <c r="Q184" s="98"/>
      <c r="R184" s="98"/>
      <c r="S184" s="98"/>
      <c r="T184" s="86">
        <f>SUM(T188:T212)</f>
        <v>0</v>
      </c>
      <c r="U184" s="111"/>
      <c r="V184" s="112">
        <f>SUM(V188:V212)</f>
        <v>0</v>
      </c>
      <c r="W184" s="86">
        <f>SUM(W188:W212)</f>
        <v>1.8</v>
      </c>
      <c r="X184" s="111"/>
      <c r="Y184" s="112">
        <f>SUM(Y188:Y212)</f>
        <v>15000</v>
      </c>
      <c r="Z184" s="86">
        <f>SUM(Z188:Z212)</f>
        <v>36.5</v>
      </c>
      <c r="AA184" s="111"/>
      <c r="AB184" s="113">
        <f>SUM(AB188:AB212)</f>
        <v>174800</v>
      </c>
      <c r="AC184" s="86">
        <f>SUM(AC186:AC213)</f>
        <v>51.7</v>
      </c>
      <c r="AD184" s="111"/>
      <c r="AE184" s="114">
        <f>SUM(AE186:AE213)</f>
        <v>250000</v>
      </c>
      <c r="AF184" s="115"/>
    </row>
    <row r="185" spans="1:39" s="110" customFormat="1" ht="36.75" customHeight="1">
      <c r="A185" s="186" t="s">
        <v>28</v>
      </c>
      <c r="B185" s="186"/>
      <c r="C185" s="98"/>
      <c r="D185" s="98"/>
      <c r="E185" s="86"/>
      <c r="F185" s="111"/>
      <c r="G185" s="112"/>
      <c r="H185" s="98"/>
      <c r="I185" s="98"/>
      <c r="J185" s="98"/>
      <c r="K185" s="98"/>
      <c r="L185" s="98"/>
      <c r="M185" s="98"/>
      <c r="N185" s="98"/>
      <c r="O185" s="98"/>
      <c r="P185" s="98"/>
      <c r="Q185" s="98"/>
      <c r="R185" s="98"/>
      <c r="S185" s="98"/>
      <c r="T185" s="86"/>
      <c r="U185" s="111"/>
      <c r="V185" s="112"/>
      <c r="W185" s="98"/>
      <c r="X185" s="98"/>
      <c r="Y185" s="116"/>
      <c r="Z185" s="98"/>
      <c r="AA185" s="98"/>
      <c r="AB185" s="116"/>
      <c r="AC185" s="98"/>
      <c r="AD185" s="98"/>
      <c r="AE185" s="117"/>
      <c r="AF185" s="118"/>
    </row>
    <row r="186" spans="1:39" s="110" customFormat="1" ht="108" customHeight="1">
      <c r="A186" s="109">
        <v>1</v>
      </c>
      <c r="B186" s="119" t="s">
        <v>206</v>
      </c>
      <c r="C186" s="52" t="s">
        <v>30</v>
      </c>
      <c r="D186" s="98"/>
      <c r="E186" s="72">
        <v>11.3</v>
      </c>
      <c r="F186" s="111"/>
      <c r="G186" s="120">
        <v>56000</v>
      </c>
      <c r="H186" s="98"/>
      <c r="I186" s="98"/>
      <c r="J186" s="98"/>
      <c r="K186" s="98"/>
      <c r="L186" s="98"/>
      <c r="M186" s="98"/>
      <c r="N186" s="98"/>
      <c r="O186" s="98"/>
      <c r="P186" s="98"/>
      <c r="Q186" s="98"/>
      <c r="R186" s="98"/>
      <c r="S186" s="98"/>
      <c r="T186" s="86"/>
      <c r="U186" s="111"/>
      <c r="V186" s="112"/>
      <c r="W186" s="98"/>
      <c r="X186" s="98"/>
      <c r="Y186" s="116"/>
      <c r="Z186" s="72"/>
      <c r="AA186" s="111"/>
      <c r="AB186" s="121"/>
      <c r="AC186" s="120">
        <f>E186</f>
        <v>11.3</v>
      </c>
      <c r="AD186" s="120"/>
      <c r="AE186" s="122">
        <f>G186</f>
        <v>56000</v>
      </c>
      <c r="AF186" s="123"/>
      <c r="AM186" s="110" t="s">
        <v>133</v>
      </c>
    </row>
    <row r="187" spans="1:39" s="110" customFormat="1" ht="33.75" customHeight="1">
      <c r="A187" s="186" t="s">
        <v>37</v>
      </c>
      <c r="B187" s="186"/>
      <c r="C187" s="59"/>
      <c r="D187" s="98"/>
      <c r="E187" s="72"/>
      <c r="F187" s="111"/>
      <c r="G187" s="120"/>
      <c r="H187" s="98"/>
      <c r="I187" s="98"/>
      <c r="J187" s="98"/>
      <c r="K187" s="98"/>
      <c r="L187" s="98"/>
      <c r="M187" s="98"/>
      <c r="N187" s="98"/>
      <c r="O187" s="98"/>
      <c r="P187" s="98"/>
      <c r="Q187" s="98"/>
      <c r="R187" s="98"/>
      <c r="S187" s="98"/>
      <c r="T187" s="86"/>
      <c r="U187" s="111"/>
      <c r="V187" s="112"/>
      <c r="W187" s="98"/>
      <c r="X187" s="98"/>
      <c r="Y187" s="116"/>
      <c r="Z187" s="124"/>
      <c r="AA187" s="111"/>
      <c r="AB187" s="125"/>
      <c r="AC187" s="126"/>
      <c r="AD187" s="126"/>
      <c r="AE187" s="127"/>
      <c r="AF187" s="128"/>
    </row>
    <row r="188" spans="1:39" s="110" customFormat="1" ht="88.5" customHeight="1">
      <c r="A188" s="109">
        <v>2</v>
      </c>
      <c r="B188" s="119" t="s">
        <v>169</v>
      </c>
      <c r="C188" s="52" t="s">
        <v>30</v>
      </c>
      <c r="D188" s="98"/>
      <c r="E188" s="72">
        <v>4.7</v>
      </c>
      <c r="F188" s="111"/>
      <c r="G188" s="120">
        <v>24000</v>
      </c>
      <c r="H188" s="98"/>
      <c r="I188" s="98"/>
      <c r="J188" s="98"/>
      <c r="K188" s="98"/>
      <c r="L188" s="98"/>
      <c r="M188" s="98"/>
      <c r="N188" s="98"/>
      <c r="O188" s="98"/>
      <c r="P188" s="98"/>
      <c r="Q188" s="98"/>
      <c r="R188" s="98"/>
      <c r="S188" s="98"/>
      <c r="T188" s="86"/>
      <c r="U188" s="111"/>
      <c r="V188" s="112"/>
      <c r="W188" s="98"/>
      <c r="X188" s="98"/>
      <c r="Y188" s="116"/>
      <c r="Z188" s="72"/>
      <c r="AA188" s="111"/>
      <c r="AB188" s="121"/>
      <c r="AC188" s="120">
        <f>E188</f>
        <v>4.7</v>
      </c>
      <c r="AD188" s="120"/>
      <c r="AE188" s="122">
        <f>G188</f>
        <v>24000</v>
      </c>
      <c r="AF188" s="123"/>
    </row>
    <row r="189" spans="1:39" s="110" customFormat="1" ht="69" customHeight="1">
      <c r="A189" s="109">
        <v>3</v>
      </c>
      <c r="B189" s="119" t="s">
        <v>199</v>
      </c>
      <c r="C189" s="52" t="s">
        <v>30</v>
      </c>
      <c r="D189" s="98"/>
      <c r="E189" s="72">
        <v>6.3</v>
      </c>
      <c r="F189" s="111"/>
      <c r="G189" s="120">
        <v>25000</v>
      </c>
      <c r="H189" s="98"/>
      <c r="I189" s="98"/>
      <c r="J189" s="98"/>
      <c r="K189" s="98"/>
      <c r="L189" s="98"/>
      <c r="M189" s="98"/>
      <c r="N189" s="98"/>
      <c r="O189" s="98"/>
      <c r="P189" s="98"/>
      <c r="Q189" s="98"/>
      <c r="R189" s="98"/>
      <c r="S189" s="98"/>
      <c r="T189" s="86"/>
      <c r="U189" s="111"/>
      <c r="V189" s="112"/>
      <c r="W189" s="98"/>
      <c r="X189" s="98"/>
      <c r="Y189" s="116"/>
      <c r="Z189" s="72"/>
      <c r="AA189" s="111"/>
      <c r="AB189" s="121"/>
      <c r="AC189" s="120">
        <f>E189</f>
        <v>6.3</v>
      </c>
      <c r="AD189" s="120"/>
      <c r="AE189" s="122">
        <f>G189</f>
        <v>25000</v>
      </c>
      <c r="AF189" s="123"/>
    </row>
    <row r="190" spans="1:39" s="110" customFormat="1" ht="45.75" customHeight="1">
      <c r="A190" s="109">
        <v>4</v>
      </c>
      <c r="B190" s="119" t="s">
        <v>170</v>
      </c>
      <c r="C190" s="52" t="s">
        <v>30</v>
      </c>
      <c r="D190" s="98"/>
      <c r="E190" s="72">
        <v>5.0999999999999996</v>
      </c>
      <c r="F190" s="111"/>
      <c r="G190" s="120">
        <f>18000+5000</f>
        <v>23000</v>
      </c>
      <c r="H190" s="98"/>
      <c r="I190" s="98"/>
      <c r="J190" s="98"/>
      <c r="K190" s="98"/>
      <c r="L190" s="98"/>
      <c r="M190" s="98"/>
      <c r="N190" s="98"/>
      <c r="O190" s="98"/>
      <c r="P190" s="98"/>
      <c r="Q190" s="98"/>
      <c r="R190" s="98"/>
      <c r="S190" s="98"/>
      <c r="T190" s="86"/>
      <c r="U190" s="111"/>
      <c r="V190" s="112"/>
      <c r="W190" s="72"/>
      <c r="X190" s="111"/>
      <c r="Y190" s="120"/>
      <c r="Z190" s="72">
        <f>E190</f>
        <v>5.0999999999999996</v>
      </c>
      <c r="AA190" s="129"/>
      <c r="AB190" s="121">
        <f>G190</f>
        <v>23000</v>
      </c>
      <c r="AC190" s="126"/>
      <c r="AD190" s="126"/>
      <c r="AE190" s="127"/>
      <c r="AF190" s="128"/>
      <c r="AH190" s="110" t="s">
        <v>23</v>
      </c>
    </row>
    <row r="191" spans="1:39" s="110" customFormat="1" ht="41.25" customHeight="1">
      <c r="A191" s="186" t="s">
        <v>53</v>
      </c>
      <c r="B191" s="186"/>
      <c r="C191" s="59"/>
      <c r="D191" s="98"/>
      <c r="E191" s="72"/>
      <c r="F191" s="111"/>
      <c r="G191" s="120"/>
      <c r="H191" s="98"/>
      <c r="I191" s="98"/>
      <c r="J191" s="98"/>
      <c r="K191" s="98"/>
      <c r="L191" s="98"/>
      <c r="M191" s="98"/>
      <c r="N191" s="98"/>
      <c r="O191" s="98"/>
      <c r="P191" s="98"/>
      <c r="Q191" s="98"/>
      <c r="R191" s="98"/>
      <c r="S191" s="98"/>
      <c r="T191" s="86"/>
      <c r="U191" s="111"/>
      <c r="V191" s="112"/>
      <c r="W191" s="98"/>
      <c r="X191" s="98"/>
      <c r="Y191" s="116"/>
      <c r="Z191" s="124"/>
      <c r="AA191" s="111"/>
      <c r="AB191" s="125"/>
      <c r="AC191" s="126"/>
      <c r="AD191" s="126"/>
      <c r="AE191" s="127"/>
      <c r="AF191" s="128"/>
    </row>
    <row r="192" spans="1:39" s="110" customFormat="1" ht="67.5" customHeight="1">
      <c r="A192" s="109">
        <v>5</v>
      </c>
      <c r="B192" s="119" t="s">
        <v>171</v>
      </c>
      <c r="C192" s="52" t="s">
        <v>30</v>
      </c>
      <c r="D192" s="98"/>
      <c r="E192" s="72">
        <v>5.9</v>
      </c>
      <c r="F192" s="111"/>
      <c r="G192" s="120">
        <v>27950</v>
      </c>
      <c r="H192" s="98"/>
      <c r="I192" s="98"/>
      <c r="J192" s="98"/>
      <c r="K192" s="98"/>
      <c r="L192" s="98"/>
      <c r="M192" s="98"/>
      <c r="N192" s="98"/>
      <c r="O192" s="98"/>
      <c r="P192" s="98"/>
      <c r="Q192" s="98"/>
      <c r="R192" s="98"/>
      <c r="S192" s="98"/>
      <c r="T192" s="86"/>
      <c r="U192" s="111"/>
      <c r="V192" s="112"/>
      <c r="W192" s="98"/>
      <c r="X192" s="98"/>
      <c r="Y192" s="116"/>
      <c r="Z192" s="72">
        <f>E192</f>
        <v>5.9</v>
      </c>
      <c r="AA192" s="111"/>
      <c r="AB192" s="121">
        <f>G192</f>
        <v>27950</v>
      </c>
      <c r="AC192" s="120"/>
      <c r="AD192" s="120"/>
      <c r="AE192" s="122"/>
      <c r="AF192" s="123"/>
      <c r="AI192" s="155" t="s">
        <v>23</v>
      </c>
    </row>
    <row r="193" spans="1:56" s="110" customFormat="1" ht="35.25" customHeight="1">
      <c r="A193" s="186" t="s">
        <v>74</v>
      </c>
      <c r="B193" s="186"/>
      <c r="C193" s="59"/>
      <c r="D193" s="98"/>
      <c r="E193" s="72"/>
      <c r="F193" s="111"/>
      <c r="G193" s="120"/>
      <c r="H193" s="98"/>
      <c r="I193" s="98"/>
      <c r="J193" s="98"/>
      <c r="K193" s="98"/>
      <c r="L193" s="98"/>
      <c r="M193" s="98"/>
      <c r="N193" s="98"/>
      <c r="O193" s="98"/>
      <c r="P193" s="98"/>
      <c r="Q193" s="98"/>
      <c r="R193" s="98"/>
      <c r="S193" s="98"/>
      <c r="T193" s="86"/>
      <c r="U193" s="111"/>
      <c r="V193" s="112"/>
      <c r="W193" s="98"/>
      <c r="X193" s="98"/>
      <c r="Y193" s="116"/>
      <c r="Z193" s="124"/>
      <c r="AA193" s="111"/>
      <c r="AB193" s="125"/>
      <c r="AC193" s="126"/>
      <c r="AD193" s="126"/>
      <c r="AE193" s="127"/>
      <c r="AF193" s="128"/>
    </row>
    <row r="194" spans="1:56" s="110" customFormat="1" ht="81" customHeight="1">
      <c r="A194" s="109">
        <v>6</v>
      </c>
      <c r="B194" s="119" t="s">
        <v>172</v>
      </c>
      <c r="C194" s="52" t="s">
        <v>30</v>
      </c>
      <c r="D194" s="98"/>
      <c r="E194" s="72">
        <v>1.7</v>
      </c>
      <c r="F194" s="111"/>
      <c r="G194" s="120">
        <v>8500</v>
      </c>
      <c r="H194" s="98"/>
      <c r="I194" s="98"/>
      <c r="J194" s="98"/>
      <c r="K194" s="98"/>
      <c r="L194" s="98"/>
      <c r="M194" s="98"/>
      <c r="N194" s="98"/>
      <c r="O194" s="98"/>
      <c r="P194" s="98"/>
      <c r="Q194" s="98"/>
      <c r="R194" s="98"/>
      <c r="S194" s="98"/>
      <c r="T194" s="86"/>
      <c r="U194" s="111"/>
      <c r="V194" s="112"/>
      <c r="W194" s="98"/>
      <c r="X194" s="98"/>
      <c r="Y194" s="116"/>
      <c r="Z194" s="72"/>
      <c r="AA194" s="111"/>
      <c r="AB194" s="121"/>
      <c r="AC194" s="130">
        <f>E194</f>
        <v>1.7</v>
      </c>
      <c r="AD194" s="120"/>
      <c r="AE194" s="122">
        <f>G194</f>
        <v>8500</v>
      </c>
      <c r="AF194" s="123"/>
      <c r="AH194" s="110" t="s">
        <v>34</v>
      </c>
    </row>
    <row r="195" spans="1:56" s="110" customFormat="1" ht="147.75" customHeight="1">
      <c r="A195" s="109">
        <v>7</v>
      </c>
      <c r="B195" s="170" t="s">
        <v>200</v>
      </c>
      <c r="C195" s="52" t="s">
        <v>30</v>
      </c>
      <c r="D195" s="131"/>
      <c r="E195" s="72">
        <f>2.5+2+2.4+3.2</f>
        <v>10.100000000000001</v>
      </c>
      <c r="F195" s="111"/>
      <c r="G195" s="120">
        <v>59500</v>
      </c>
      <c r="H195" s="98"/>
      <c r="I195" s="98"/>
      <c r="J195" s="98"/>
      <c r="K195" s="98"/>
      <c r="L195" s="98"/>
      <c r="M195" s="98"/>
      <c r="N195" s="98"/>
      <c r="O195" s="98"/>
      <c r="P195" s="98"/>
      <c r="Q195" s="98"/>
      <c r="R195" s="98"/>
      <c r="S195" s="98"/>
      <c r="T195" s="86"/>
      <c r="U195" s="111"/>
      <c r="V195" s="112"/>
      <c r="W195" s="98"/>
      <c r="X195" s="98"/>
      <c r="Y195" s="116"/>
      <c r="Z195" s="72"/>
      <c r="AA195" s="111"/>
      <c r="AB195" s="121"/>
      <c r="AC195" s="130">
        <f>E195</f>
        <v>10.100000000000001</v>
      </c>
      <c r="AD195" s="120"/>
      <c r="AE195" s="122">
        <f>G195</f>
        <v>59500</v>
      </c>
      <c r="AF195" s="123"/>
      <c r="AI195" s="110" t="s">
        <v>133</v>
      </c>
    </row>
    <row r="196" spans="1:56" s="110" customFormat="1" ht="37.5" customHeight="1">
      <c r="A196" s="186" t="s">
        <v>105</v>
      </c>
      <c r="B196" s="186"/>
      <c r="C196" s="59"/>
      <c r="D196" s="98"/>
      <c r="E196" s="72"/>
      <c r="F196" s="111"/>
      <c r="G196" s="120"/>
      <c r="H196" s="98"/>
      <c r="I196" s="98"/>
      <c r="J196" s="98"/>
      <c r="K196" s="98"/>
      <c r="L196" s="98"/>
      <c r="M196" s="98"/>
      <c r="N196" s="98"/>
      <c r="O196" s="98"/>
      <c r="P196" s="98"/>
      <c r="Q196" s="98"/>
      <c r="R196" s="98"/>
      <c r="S196" s="98"/>
      <c r="T196" s="86"/>
      <c r="U196" s="111"/>
      <c r="V196" s="112"/>
      <c r="W196" s="98"/>
      <c r="X196" s="98"/>
      <c r="Y196" s="116"/>
      <c r="Z196" s="124"/>
      <c r="AA196" s="111"/>
      <c r="AB196" s="125"/>
      <c r="AC196" s="126"/>
      <c r="AD196" s="126"/>
      <c r="AE196" s="127"/>
      <c r="AF196" s="128"/>
      <c r="AK196" s="110" t="s">
        <v>34</v>
      </c>
    </row>
    <row r="197" spans="1:56" s="110" customFormat="1" ht="49.5" customHeight="1">
      <c r="A197" s="109">
        <v>8</v>
      </c>
      <c r="B197" s="119" t="s">
        <v>173</v>
      </c>
      <c r="C197" s="52" t="s">
        <v>30</v>
      </c>
      <c r="D197" s="98"/>
      <c r="E197" s="72">
        <v>1.5</v>
      </c>
      <c r="F197" s="111"/>
      <c r="G197" s="120">
        <f>E197*5000</f>
        <v>7500</v>
      </c>
      <c r="H197" s="98"/>
      <c r="I197" s="98"/>
      <c r="J197" s="98"/>
      <c r="K197" s="98"/>
      <c r="L197" s="98"/>
      <c r="M197" s="98"/>
      <c r="N197" s="98"/>
      <c r="O197" s="98"/>
      <c r="P197" s="98"/>
      <c r="Q197" s="98"/>
      <c r="R197" s="98"/>
      <c r="S197" s="98"/>
      <c r="T197" s="86"/>
      <c r="U197" s="111"/>
      <c r="V197" s="112"/>
      <c r="W197" s="98"/>
      <c r="X197" s="98"/>
      <c r="Y197" s="116"/>
      <c r="Z197" s="72">
        <f>E197</f>
        <v>1.5</v>
      </c>
      <c r="AA197" s="132"/>
      <c r="AB197" s="121">
        <f>G197</f>
        <v>7500</v>
      </c>
      <c r="AC197" s="126"/>
      <c r="AD197" s="126"/>
      <c r="AE197" s="127"/>
      <c r="AF197" s="128"/>
    </row>
    <row r="198" spans="1:56" s="110" customFormat="1" ht="68.25" customHeight="1">
      <c r="A198" s="109">
        <v>9</v>
      </c>
      <c r="B198" s="119" t="s">
        <v>174</v>
      </c>
      <c r="C198" s="52" t="s">
        <v>30</v>
      </c>
      <c r="D198" s="98"/>
      <c r="E198" s="72">
        <v>2.9</v>
      </c>
      <c r="F198" s="111"/>
      <c r="G198" s="120">
        <v>13050</v>
      </c>
      <c r="H198" s="98"/>
      <c r="I198" s="98"/>
      <c r="J198" s="98"/>
      <c r="K198" s="98"/>
      <c r="L198" s="98"/>
      <c r="M198" s="98"/>
      <c r="N198" s="98"/>
      <c r="O198" s="98"/>
      <c r="P198" s="98"/>
      <c r="Q198" s="98"/>
      <c r="R198" s="98"/>
      <c r="S198" s="98"/>
      <c r="T198" s="86"/>
      <c r="U198" s="111"/>
      <c r="V198" s="112"/>
      <c r="W198" s="98"/>
      <c r="X198" s="98"/>
      <c r="Y198" s="116"/>
      <c r="Z198" s="72">
        <f>E198</f>
        <v>2.9</v>
      </c>
      <c r="AA198" s="111"/>
      <c r="AB198" s="121">
        <f>G198</f>
        <v>13050</v>
      </c>
      <c r="AC198" s="120"/>
      <c r="AD198" s="120"/>
      <c r="AE198" s="122"/>
      <c r="AF198" s="133"/>
      <c r="AY198" s="110" t="s">
        <v>23</v>
      </c>
    </row>
    <row r="199" spans="1:56" s="110" customFormat="1" ht="38.25" customHeight="1">
      <c r="A199" s="186" t="s">
        <v>116</v>
      </c>
      <c r="B199" s="186" t="s">
        <v>175</v>
      </c>
      <c r="C199" s="52"/>
      <c r="D199" s="98"/>
      <c r="E199" s="72"/>
      <c r="F199" s="111"/>
      <c r="G199" s="120"/>
      <c r="H199" s="98"/>
      <c r="I199" s="98"/>
      <c r="J199" s="98"/>
      <c r="K199" s="98"/>
      <c r="L199" s="98"/>
      <c r="M199" s="98"/>
      <c r="N199" s="98"/>
      <c r="O199" s="98"/>
      <c r="P199" s="98"/>
      <c r="Q199" s="98"/>
      <c r="R199" s="98"/>
      <c r="S199" s="98"/>
      <c r="T199" s="86"/>
      <c r="U199" s="111"/>
      <c r="V199" s="112"/>
      <c r="W199" s="98"/>
      <c r="X199" s="98"/>
      <c r="Y199" s="116"/>
      <c r="Z199" s="72"/>
      <c r="AA199" s="111"/>
      <c r="AB199" s="121"/>
      <c r="AC199" s="120"/>
      <c r="AD199" s="120"/>
      <c r="AE199" s="122"/>
      <c r="AF199" s="133"/>
    </row>
    <row r="200" spans="1:56" s="110" customFormat="1" ht="36" customHeight="1">
      <c r="A200" s="109">
        <v>10</v>
      </c>
      <c r="B200" s="119" t="s">
        <v>176</v>
      </c>
      <c r="C200" s="52" t="s">
        <v>30</v>
      </c>
      <c r="D200" s="98"/>
      <c r="E200" s="72">
        <v>3.7</v>
      </c>
      <c r="F200" s="111"/>
      <c r="G200" s="120">
        <f>E200*5000</f>
        <v>18500</v>
      </c>
      <c r="H200" s="98"/>
      <c r="I200" s="98"/>
      <c r="J200" s="98"/>
      <c r="K200" s="98"/>
      <c r="L200" s="98"/>
      <c r="M200" s="98"/>
      <c r="N200" s="98"/>
      <c r="O200" s="98"/>
      <c r="P200" s="98"/>
      <c r="Q200" s="98"/>
      <c r="R200" s="98"/>
      <c r="S200" s="98"/>
      <c r="T200" s="86"/>
      <c r="U200" s="111"/>
      <c r="V200" s="112"/>
      <c r="W200" s="98"/>
      <c r="X200" s="98"/>
      <c r="Y200" s="116"/>
      <c r="Z200" s="72">
        <f>E200</f>
        <v>3.7</v>
      </c>
      <c r="AA200" s="111"/>
      <c r="AB200" s="121">
        <f>G200</f>
        <v>18500</v>
      </c>
      <c r="AC200" s="120"/>
      <c r="AD200" s="120"/>
      <c r="AE200" s="122"/>
      <c r="AF200" s="133"/>
    </row>
    <row r="201" spans="1:56" s="110" customFormat="1" ht="46.5" customHeight="1">
      <c r="A201" s="186" t="s">
        <v>123</v>
      </c>
      <c r="B201" s="186"/>
      <c r="C201" s="59"/>
      <c r="D201" s="98"/>
      <c r="E201" s="72"/>
      <c r="F201" s="111"/>
      <c r="G201" s="120"/>
      <c r="H201" s="98"/>
      <c r="I201" s="98"/>
      <c r="J201" s="98"/>
      <c r="K201" s="98"/>
      <c r="L201" s="98"/>
      <c r="M201" s="98"/>
      <c r="N201" s="98"/>
      <c r="O201" s="98"/>
      <c r="P201" s="98"/>
      <c r="Q201" s="98"/>
      <c r="R201" s="98"/>
      <c r="S201" s="98"/>
      <c r="T201" s="86"/>
      <c r="U201" s="111"/>
      <c r="V201" s="112"/>
      <c r="W201" s="98"/>
      <c r="X201" s="98"/>
      <c r="Y201" s="116"/>
      <c r="Z201" s="124"/>
      <c r="AA201" s="111"/>
      <c r="AB201" s="125"/>
      <c r="AC201" s="126"/>
      <c r="AD201" s="126"/>
      <c r="AE201" s="127"/>
      <c r="AF201" s="128"/>
    </row>
    <row r="202" spans="1:56" s="110" customFormat="1" ht="41.25" hidden="1" customHeight="1">
      <c r="A202" s="109"/>
      <c r="B202" s="170" t="s">
        <v>177</v>
      </c>
      <c r="C202" s="52" t="s">
        <v>30</v>
      </c>
      <c r="D202" s="98"/>
      <c r="E202" s="72"/>
      <c r="F202" s="111"/>
      <c r="G202" s="120"/>
      <c r="H202" s="98"/>
      <c r="I202" s="98"/>
      <c r="J202" s="98"/>
      <c r="K202" s="98"/>
      <c r="L202" s="98"/>
      <c r="M202" s="98"/>
      <c r="N202" s="98"/>
      <c r="O202" s="98"/>
      <c r="P202" s="98"/>
      <c r="Q202" s="98"/>
      <c r="R202" s="98"/>
      <c r="S202" s="98"/>
      <c r="T202" s="86"/>
      <c r="U202" s="111"/>
      <c r="V202" s="112"/>
      <c r="W202" s="98"/>
      <c r="X202" s="98"/>
      <c r="Y202" s="116"/>
      <c r="Z202" s="72">
        <f>E202</f>
        <v>0</v>
      </c>
      <c r="AA202" s="132"/>
      <c r="AB202" s="121">
        <f>G202</f>
        <v>0</v>
      </c>
      <c r="AC202" s="126"/>
      <c r="AD202" s="126"/>
      <c r="AE202" s="127"/>
      <c r="AF202" s="128"/>
    </row>
    <row r="203" spans="1:56" s="110" customFormat="1" ht="43.5" customHeight="1">
      <c r="A203" s="109">
        <v>11</v>
      </c>
      <c r="B203" s="170" t="s">
        <v>178</v>
      </c>
      <c r="C203" s="52" t="s">
        <v>30</v>
      </c>
      <c r="D203" s="98"/>
      <c r="E203" s="72">
        <v>3.9</v>
      </c>
      <c r="F203" s="111"/>
      <c r="G203" s="120">
        <f>E203*5000</f>
        <v>19500</v>
      </c>
      <c r="H203" s="98"/>
      <c r="I203" s="98"/>
      <c r="J203" s="98"/>
      <c r="K203" s="98"/>
      <c r="L203" s="98"/>
      <c r="M203" s="98"/>
      <c r="N203" s="98"/>
      <c r="O203" s="98"/>
      <c r="P203" s="98"/>
      <c r="Q203" s="98"/>
      <c r="R203" s="98"/>
      <c r="S203" s="98"/>
      <c r="T203" s="86"/>
      <c r="U203" s="111"/>
      <c r="V203" s="112"/>
      <c r="W203" s="98"/>
      <c r="X203" s="98"/>
      <c r="Y203" s="116"/>
      <c r="Z203" s="72">
        <f>E203</f>
        <v>3.9</v>
      </c>
      <c r="AA203" s="132"/>
      <c r="AB203" s="121">
        <f>G203</f>
        <v>19500</v>
      </c>
      <c r="AC203" s="126"/>
      <c r="AD203" s="126"/>
      <c r="AE203" s="127"/>
      <c r="AF203" s="128"/>
    </row>
    <row r="204" spans="1:56" s="110" customFormat="1" ht="52.5" customHeight="1">
      <c r="A204" s="109">
        <v>12</v>
      </c>
      <c r="B204" s="51" t="s">
        <v>179</v>
      </c>
      <c r="C204" s="52" t="s">
        <v>30</v>
      </c>
      <c r="D204" s="98"/>
      <c r="E204" s="72">
        <v>1.8</v>
      </c>
      <c r="F204" s="111"/>
      <c r="G204" s="120">
        <v>15000</v>
      </c>
      <c r="H204" s="98"/>
      <c r="I204" s="98"/>
      <c r="J204" s="98"/>
      <c r="K204" s="98"/>
      <c r="L204" s="98"/>
      <c r="M204" s="98"/>
      <c r="N204" s="98"/>
      <c r="O204" s="98"/>
      <c r="P204" s="98"/>
      <c r="Q204" s="98"/>
      <c r="R204" s="98"/>
      <c r="S204" s="98"/>
      <c r="T204" s="86"/>
      <c r="U204" s="111"/>
      <c r="V204" s="112"/>
      <c r="W204" s="72">
        <f>E204</f>
        <v>1.8</v>
      </c>
      <c r="X204" s="111"/>
      <c r="Y204" s="120">
        <f>G204</f>
        <v>15000</v>
      </c>
      <c r="Z204" s="72"/>
      <c r="AA204" s="111"/>
      <c r="AB204" s="121"/>
      <c r="AC204" s="120"/>
      <c r="AD204" s="120"/>
      <c r="AE204" s="122"/>
      <c r="AF204" s="133"/>
      <c r="AK204" s="110" t="s">
        <v>133</v>
      </c>
      <c r="BD204" s="110" t="s">
        <v>23</v>
      </c>
    </row>
    <row r="205" spans="1:56" s="110" customFormat="1" ht="39" customHeight="1">
      <c r="A205" s="186" t="s">
        <v>137</v>
      </c>
      <c r="B205" s="186"/>
      <c r="C205" s="98"/>
      <c r="D205" s="98"/>
      <c r="E205" s="98"/>
      <c r="F205" s="98"/>
      <c r="G205" s="98"/>
      <c r="H205" s="98"/>
      <c r="I205" s="98"/>
      <c r="J205" s="98"/>
      <c r="K205" s="98"/>
      <c r="L205" s="98"/>
      <c r="M205" s="98"/>
      <c r="N205" s="98"/>
      <c r="O205" s="98"/>
      <c r="P205" s="98"/>
      <c r="Q205" s="98"/>
      <c r="R205" s="98"/>
      <c r="S205" s="98"/>
      <c r="T205" s="98"/>
      <c r="U205" s="98"/>
      <c r="V205" s="98"/>
      <c r="W205" s="98"/>
      <c r="X205" s="98"/>
      <c r="Y205" s="116"/>
      <c r="Z205" s="98"/>
      <c r="AA205" s="98"/>
      <c r="AB205" s="116"/>
      <c r="AC205" s="98"/>
      <c r="AD205" s="98"/>
      <c r="AE205" s="117"/>
      <c r="AF205" s="118"/>
    </row>
    <row r="206" spans="1:56" s="110" customFormat="1" ht="55.5" customHeight="1">
      <c r="A206" s="109">
        <v>13</v>
      </c>
      <c r="B206" s="170" t="s">
        <v>180</v>
      </c>
      <c r="C206" s="52" t="s">
        <v>33</v>
      </c>
      <c r="D206" s="98"/>
      <c r="E206" s="72">
        <v>1.5</v>
      </c>
      <c r="F206" s="98"/>
      <c r="G206" s="120">
        <f>E206*5000</f>
        <v>7500</v>
      </c>
      <c r="H206" s="98"/>
      <c r="I206" s="98"/>
      <c r="J206" s="98"/>
      <c r="K206" s="98"/>
      <c r="L206" s="98"/>
      <c r="M206" s="98"/>
      <c r="N206" s="98"/>
      <c r="O206" s="98"/>
      <c r="P206" s="98"/>
      <c r="Q206" s="98"/>
      <c r="R206" s="98"/>
      <c r="S206" s="98"/>
      <c r="T206" s="98"/>
      <c r="U206" s="98"/>
      <c r="V206" s="98"/>
      <c r="W206" s="98"/>
      <c r="X206" s="98"/>
      <c r="Y206" s="116"/>
      <c r="Z206" s="72">
        <f>E206</f>
        <v>1.5</v>
      </c>
      <c r="AA206" s="98"/>
      <c r="AB206" s="120">
        <f>G206</f>
        <v>7500</v>
      </c>
      <c r="AC206" s="98"/>
      <c r="AD206" s="98"/>
      <c r="AE206" s="117"/>
      <c r="AF206" s="118"/>
    </row>
    <row r="207" spans="1:56" s="110" customFormat="1" ht="42" customHeight="1">
      <c r="A207" s="109">
        <v>14</v>
      </c>
      <c r="B207" s="134" t="s">
        <v>181</v>
      </c>
      <c r="C207" s="52" t="s">
        <v>33</v>
      </c>
      <c r="D207" s="98"/>
      <c r="E207" s="72">
        <v>11.1</v>
      </c>
      <c r="F207" s="135"/>
      <c r="G207" s="120">
        <v>43000</v>
      </c>
      <c r="H207" s="98"/>
      <c r="I207" s="98"/>
      <c r="J207" s="98"/>
      <c r="K207" s="98"/>
      <c r="L207" s="98"/>
      <c r="M207" s="98"/>
      <c r="N207" s="98"/>
      <c r="O207" s="98"/>
      <c r="P207" s="98"/>
      <c r="Q207" s="98"/>
      <c r="R207" s="98"/>
      <c r="S207" s="98"/>
      <c r="T207" s="98"/>
      <c r="U207" s="98"/>
      <c r="V207" s="98"/>
      <c r="W207" s="98"/>
      <c r="X207" s="98"/>
      <c r="Y207" s="116"/>
      <c r="Z207" s="72"/>
      <c r="AA207" s="98"/>
      <c r="AB207" s="121"/>
      <c r="AC207" s="72">
        <f>E207</f>
        <v>11.1</v>
      </c>
      <c r="AD207" s="135"/>
      <c r="AE207" s="122">
        <f>G207</f>
        <v>43000</v>
      </c>
      <c r="AF207" s="118"/>
    </row>
    <row r="208" spans="1:56" s="110" customFormat="1" ht="46.5" customHeight="1">
      <c r="A208" s="109">
        <v>15</v>
      </c>
      <c r="B208" s="170" t="s">
        <v>182</v>
      </c>
      <c r="C208" s="52" t="s">
        <v>30</v>
      </c>
      <c r="D208" s="98"/>
      <c r="E208" s="72">
        <v>4.7</v>
      </c>
      <c r="F208" s="135"/>
      <c r="G208" s="120">
        <v>25000</v>
      </c>
      <c r="H208" s="98"/>
      <c r="I208" s="98"/>
      <c r="J208" s="98"/>
      <c r="K208" s="98"/>
      <c r="L208" s="98"/>
      <c r="M208" s="98"/>
      <c r="N208" s="98"/>
      <c r="O208" s="98"/>
      <c r="P208" s="98"/>
      <c r="Q208" s="98"/>
      <c r="R208" s="98"/>
      <c r="S208" s="98"/>
      <c r="T208" s="98"/>
      <c r="U208" s="98"/>
      <c r="V208" s="98"/>
      <c r="W208" s="98"/>
      <c r="X208" s="98"/>
      <c r="Y208" s="116"/>
      <c r="Z208" s="72"/>
      <c r="AA208" s="98"/>
      <c r="AB208" s="121"/>
      <c r="AC208" s="72">
        <f>E208</f>
        <v>4.7</v>
      </c>
      <c r="AD208" s="135"/>
      <c r="AE208" s="122">
        <f>G208</f>
        <v>25000</v>
      </c>
      <c r="AF208" s="118"/>
    </row>
    <row r="209" spans="1:32" s="110" customFormat="1" ht="33.950000000000003" customHeight="1">
      <c r="A209" s="186" t="s">
        <v>140</v>
      </c>
      <c r="B209" s="186"/>
      <c r="C209" s="135"/>
      <c r="D209" s="135"/>
      <c r="E209" s="135"/>
      <c r="F209" s="135"/>
      <c r="G209" s="135"/>
      <c r="H209" s="136"/>
      <c r="I209" s="135"/>
      <c r="J209" s="135"/>
      <c r="K209" s="135"/>
      <c r="L209" s="135"/>
      <c r="M209" s="135"/>
      <c r="N209" s="135"/>
      <c r="O209" s="135"/>
      <c r="P209" s="135"/>
      <c r="Q209" s="135"/>
      <c r="R209" s="135"/>
      <c r="S209" s="135"/>
      <c r="T209" s="135"/>
      <c r="U209" s="135"/>
      <c r="V209" s="135"/>
      <c r="W209" s="135"/>
      <c r="X209" s="135"/>
      <c r="Y209" s="135"/>
      <c r="Z209" s="135"/>
      <c r="AA209" s="135"/>
      <c r="AB209" s="137"/>
      <c r="AC209" s="135"/>
      <c r="AD209" s="135"/>
      <c r="AE209" s="138"/>
      <c r="AF209" s="139"/>
    </row>
    <row r="210" spans="1:32" s="110" customFormat="1" ht="86.25" customHeight="1">
      <c r="A210" s="109">
        <v>16</v>
      </c>
      <c r="B210" s="51" t="s">
        <v>183</v>
      </c>
      <c r="C210" s="52" t="s">
        <v>30</v>
      </c>
      <c r="D210" s="135"/>
      <c r="E210" s="72">
        <v>7.2</v>
      </c>
      <c r="F210" s="135"/>
      <c r="G210" s="120">
        <v>36200</v>
      </c>
      <c r="H210" s="136"/>
      <c r="I210" s="135"/>
      <c r="J210" s="135"/>
      <c r="K210" s="135"/>
      <c r="L210" s="135"/>
      <c r="M210" s="135"/>
      <c r="N210" s="135"/>
      <c r="O210" s="135"/>
      <c r="P210" s="135"/>
      <c r="Q210" s="135"/>
      <c r="R210" s="135"/>
      <c r="S210" s="135"/>
      <c r="T210" s="135"/>
      <c r="U210" s="135"/>
      <c r="V210" s="135"/>
      <c r="W210" s="135"/>
      <c r="X210" s="135"/>
      <c r="Y210" s="135"/>
      <c r="Z210" s="72">
        <f>E210</f>
        <v>7.2</v>
      </c>
      <c r="AA210" s="111"/>
      <c r="AB210" s="121">
        <f>G210</f>
        <v>36200</v>
      </c>
      <c r="AC210" s="120"/>
      <c r="AD210" s="120"/>
      <c r="AE210" s="122"/>
      <c r="AF210" s="133"/>
    </row>
    <row r="211" spans="1:32" s="110" customFormat="1" ht="69.75" customHeight="1">
      <c r="A211" s="109">
        <v>17</v>
      </c>
      <c r="B211" s="51" t="s">
        <v>184</v>
      </c>
      <c r="C211" s="52" t="s">
        <v>30</v>
      </c>
      <c r="D211" s="135"/>
      <c r="E211" s="72">
        <v>4.8</v>
      </c>
      <c r="F211" s="135"/>
      <c r="G211" s="120">
        <v>21600</v>
      </c>
      <c r="H211" s="136"/>
      <c r="I211" s="135"/>
      <c r="J211" s="135"/>
      <c r="K211" s="135"/>
      <c r="L211" s="135"/>
      <c r="M211" s="135"/>
      <c r="N211" s="135"/>
      <c r="O211" s="135"/>
      <c r="P211" s="135"/>
      <c r="Q211" s="135"/>
      <c r="R211" s="135"/>
      <c r="S211" s="135"/>
      <c r="T211" s="135"/>
      <c r="U211" s="135"/>
      <c r="V211" s="135"/>
      <c r="W211" s="135"/>
      <c r="X211" s="135"/>
      <c r="Y211" s="135"/>
      <c r="Z211" s="72">
        <f>E211</f>
        <v>4.8</v>
      </c>
      <c r="AA211" s="111"/>
      <c r="AB211" s="121">
        <f>G211</f>
        <v>21600</v>
      </c>
      <c r="AC211" s="120"/>
      <c r="AD211" s="120"/>
      <c r="AE211" s="122"/>
      <c r="AF211" s="133"/>
    </row>
    <row r="212" spans="1:32" s="110" customFormat="1" ht="52.5" customHeight="1" thickBot="1">
      <c r="A212" s="178">
        <v>18</v>
      </c>
      <c r="B212" s="140" t="s">
        <v>185</v>
      </c>
      <c r="C212" s="141" t="s">
        <v>30</v>
      </c>
      <c r="D212" s="142"/>
      <c r="E212" s="143">
        <v>1.8</v>
      </c>
      <c r="F212" s="142"/>
      <c r="G212" s="144">
        <v>9000</v>
      </c>
      <c r="H212" s="145"/>
      <c r="I212" s="142"/>
      <c r="J212" s="142"/>
      <c r="K212" s="142"/>
      <c r="L212" s="142"/>
      <c r="M212" s="142"/>
      <c r="N212" s="142"/>
      <c r="O212" s="142"/>
      <c r="P212" s="142"/>
      <c r="Q212" s="142"/>
      <c r="R212" s="142"/>
      <c r="S212" s="142"/>
      <c r="T212" s="142"/>
      <c r="U212" s="142"/>
      <c r="V212" s="142"/>
      <c r="W212" s="142"/>
      <c r="X212" s="142"/>
      <c r="Y212" s="142"/>
      <c r="Z212" s="143"/>
      <c r="AA212" s="146"/>
      <c r="AB212" s="144"/>
      <c r="AC212" s="147">
        <f>E212</f>
        <v>1.8</v>
      </c>
      <c r="AD212" s="144"/>
      <c r="AE212" s="148">
        <f>G212</f>
        <v>9000</v>
      </c>
      <c r="AF212" s="123"/>
    </row>
    <row r="213" spans="1:32" s="110" customFormat="1" ht="40.5" hidden="1" customHeight="1">
      <c r="A213" s="149"/>
      <c r="B213" s="150" t="s">
        <v>143</v>
      </c>
      <c r="C213" s="151"/>
      <c r="D213" s="151"/>
      <c r="E213" s="151"/>
      <c r="F213" s="151"/>
      <c r="G213" s="151"/>
      <c r="H213" s="152"/>
      <c r="I213" s="151"/>
      <c r="J213" s="151"/>
      <c r="K213" s="151"/>
      <c r="L213" s="151"/>
      <c r="M213" s="151"/>
      <c r="N213" s="151"/>
      <c r="O213" s="151"/>
      <c r="P213" s="151"/>
      <c r="Q213" s="151"/>
      <c r="R213" s="151"/>
      <c r="S213" s="151"/>
      <c r="T213" s="151"/>
      <c r="U213" s="151"/>
      <c r="V213" s="151"/>
      <c r="W213" s="151"/>
      <c r="X213" s="151"/>
      <c r="Y213" s="151"/>
      <c r="Z213" s="151"/>
      <c r="AA213" s="151"/>
      <c r="AB213" s="151"/>
      <c r="AC213" s="153"/>
      <c r="AD213" s="151"/>
      <c r="AE213" s="154"/>
    </row>
    <row r="214" spans="1:32" s="110" customFormat="1">
      <c r="A214" s="155"/>
      <c r="H214" s="13"/>
    </row>
    <row r="215" spans="1:32" s="110" customFormat="1">
      <c r="A215" s="155"/>
    </row>
    <row r="216" spans="1:32" s="110" customFormat="1">
      <c r="A216" s="155"/>
    </row>
    <row r="217" spans="1:32" s="110" customFormat="1">
      <c r="A217" s="155"/>
    </row>
    <row r="218" spans="1:32" s="110" customFormat="1">
      <c r="A218" s="155"/>
    </row>
    <row r="219" spans="1:32" s="110" customFormat="1">
      <c r="A219" s="155"/>
    </row>
    <row r="220" spans="1:32" s="110" customFormat="1">
      <c r="A220" s="155"/>
    </row>
    <row r="221" spans="1:32" s="110" customFormat="1">
      <c r="A221" s="155"/>
    </row>
    <row r="222" spans="1:32" s="110" customFormat="1">
      <c r="A222" s="155"/>
    </row>
    <row r="223" spans="1:32" s="110" customFormat="1">
      <c r="A223" s="155"/>
    </row>
    <row r="224" spans="1:32" s="110" customFormat="1">
      <c r="A224" s="155"/>
    </row>
    <row r="225" spans="1:1" s="110" customFormat="1">
      <c r="A225" s="155"/>
    </row>
    <row r="226" spans="1:1" s="110" customFormat="1">
      <c r="A226" s="155"/>
    </row>
    <row r="227" spans="1:1" s="110" customFormat="1">
      <c r="A227" s="155"/>
    </row>
    <row r="228" spans="1:1" s="110" customFormat="1">
      <c r="A228" s="155"/>
    </row>
    <row r="229" spans="1:1" s="110" customFormat="1">
      <c r="A229" s="155"/>
    </row>
    <row r="230" spans="1:1" s="110" customFormat="1">
      <c r="A230" s="155"/>
    </row>
    <row r="231" spans="1:1" s="110" customFormat="1">
      <c r="A231" s="155"/>
    </row>
    <row r="232" spans="1:1" s="110" customFormat="1">
      <c r="A232" s="155"/>
    </row>
    <row r="233" spans="1:1" s="110" customFormat="1">
      <c r="A233" s="155"/>
    </row>
    <row r="234" spans="1:1" s="110" customFormat="1">
      <c r="A234" s="155"/>
    </row>
    <row r="235" spans="1:1" s="110" customFormat="1">
      <c r="A235" s="155"/>
    </row>
    <row r="236" spans="1:1" s="110" customFormat="1">
      <c r="A236" s="155"/>
    </row>
    <row r="237" spans="1:1" s="110" customFormat="1">
      <c r="A237" s="155"/>
    </row>
    <row r="238" spans="1:1" s="110" customFormat="1">
      <c r="A238" s="155"/>
    </row>
    <row r="239" spans="1:1" s="110" customFormat="1">
      <c r="A239" s="155"/>
    </row>
    <row r="240" spans="1:1" s="110" customFormat="1">
      <c r="A240" s="155"/>
    </row>
    <row r="241" spans="1:1" s="110" customFormat="1">
      <c r="A241" s="155"/>
    </row>
    <row r="242" spans="1:1" s="110" customFormat="1">
      <c r="A242" s="155"/>
    </row>
    <row r="243" spans="1:1" s="110" customFormat="1">
      <c r="A243" s="155"/>
    </row>
    <row r="244" spans="1:1" s="110" customFormat="1">
      <c r="A244" s="155"/>
    </row>
    <row r="245" spans="1:1" s="110" customFormat="1">
      <c r="A245" s="155"/>
    </row>
    <row r="246" spans="1:1" s="110" customFormat="1">
      <c r="A246" s="155"/>
    </row>
    <row r="247" spans="1:1" s="110" customFormat="1">
      <c r="A247" s="155"/>
    </row>
    <row r="248" spans="1:1" s="110" customFormat="1">
      <c r="A248" s="155"/>
    </row>
    <row r="249" spans="1:1" s="110" customFormat="1">
      <c r="A249" s="155"/>
    </row>
    <row r="250" spans="1:1" s="110" customFormat="1">
      <c r="A250" s="155"/>
    </row>
    <row r="251" spans="1:1" s="110" customFormat="1">
      <c r="A251" s="155"/>
    </row>
    <row r="252" spans="1:1" s="110" customFormat="1">
      <c r="A252" s="155"/>
    </row>
    <row r="253" spans="1:1" s="110" customFormat="1">
      <c r="A253" s="155"/>
    </row>
    <row r="254" spans="1:1" s="110" customFormat="1">
      <c r="A254" s="155"/>
    </row>
    <row r="255" spans="1:1" s="110" customFormat="1">
      <c r="A255" s="155"/>
    </row>
    <row r="256" spans="1:1" s="110" customFormat="1">
      <c r="A256" s="155"/>
    </row>
    <row r="257" spans="1:1" s="110" customFormat="1">
      <c r="A257" s="155"/>
    </row>
    <row r="258" spans="1:1" s="110" customFormat="1">
      <c r="A258" s="155"/>
    </row>
    <row r="259" spans="1:1" s="110" customFormat="1">
      <c r="A259" s="155"/>
    </row>
    <row r="260" spans="1:1" s="110" customFormat="1">
      <c r="A260" s="155"/>
    </row>
    <row r="261" spans="1:1" s="110" customFormat="1">
      <c r="A261" s="155"/>
    </row>
    <row r="262" spans="1:1" s="110" customFormat="1">
      <c r="A262" s="155"/>
    </row>
    <row r="263" spans="1:1" s="110" customFormat="1">
      <c r="A263" s="155"/>
    </row>
    <row r="264" spans="1:1" s="110" customFormat="1">
      <c r="A264" s="155"/>
    </row>
    <row r="265" spans="1:1" s="110" customFormat="1">
      <c r="A265" s="155"/>
    </row>
    <row r="266" spans="1:1" s="110" customFormat="1">
      <c r="A266" s="155"/>
    </row>
    <row r="267" spans="1:1" s="110" customFormat="1">
      <c r="A267" s="155"/>
    </row>
    <row r="268" spans="1:1" s="110" customFormat="1">
      <c r="A268" s="155"/>
    </row>
    <row r="269" spans="1:1" s="110" customFormat="1">
      <c r="A269" s="155"/>
    </row>
    <row r="270" spans="1:1" s="110" customFormat="1">
      <c r="A270" s="155"/>
    </row>
    <row r="271" spans="1:1" s="110" customFormat="1">
      <c r="A271" s="155"/>
    </row>
    <row r="272" spans="1:1" s="110" customFormat="1">
      <c r="A272" s="155"/>
    </row>
    <row r="273" spans="1:1" s="110" customFormat="1">
      <c r="A273" s="155"/>
    </row>
    <row r="274" spans="1:1" s="110" customFormat="1">
      <c r="A274" s="155"/>
    </row>
    <row r="275" spans="1:1" s="110" customFormat="1">
      <c r="A275" s="155"/>
    </row>
    <row r="276" spans="1:1" s="110" customFormat="1">
      <c r="A276" s="155"/>
    </row>
    <row r="277" spans="1:1" s="110" customFormat="1">
      <c r="A277" s="155"/>
    </row>
    <row r="278" spans="1:1" s="110" customFormat="1">
      <c r="A278" s="155"/>
    </row>
    <row r="279" spans="1:1" s="110" customFormat="1">
      <c r="A279" s="155"/>
    </row>
    <row r="280" spans="1:1" s="110" customFormat="1">
      <c r="A280" s="155"/>
    </row>
    <row r="281" spans="1:1" s="110" customFormat="1">
      <c r="A281" s="155"/>
    </row>
    <row r="282" spans="1:1" s="110" customFormat="1">
      <c r="A282" s="155"/>
    </row>
    <row r="283" spans="1:1" s="110" customFormat="1">
      <c r="A283" s="155"/>
    </row>
    <row r="284" spans="1:1" s="110" customFormat="1">
      <c r="A284" s="155"/>
    </row>
    <row r="285" spans="1:1" s="110" customFormat="1">
      <c r="A285" s="155"/>
    </row>
    <row r="286" spans="1:1" s="110" customFormat="1">
      <c r="A286" s="155"/>
    </row>
    <row r="287" spans="1:1" s="110" customFormat="1">
      <c r="A287" s="155"/>
    </row>
    <row r="288" spans="1:1" s="110" customFormat="1">
      <c r="A288" s="155"/>
    </row>
    <row r="289" spans="1:1" s="110" customFormat="1">
      <c r="A289" s="155"/>
    </row>
    <row r="290" spans="1:1" s="110" customFormat="1">
      <c r="A290" s="155"/>
    </row>
    <row r="291" spans="1:1" s="110" customFormat="1">
      <c r="A291" s="155"/>
    </row>
    <row r="292" spans="1:1" s="110" customFormat="1">
      <c r="A292" s="155"/>
    </row>
    <row r="293" spans="1:1" s="110" customFormat="1">
      <c r="A293" s="155"/>
    </row>
    <row r="294" spans="1:1" s="110" customFormat="1">
      <c r="A294" s="155"/>
    </row>
    <row r="295" spans="1:1" s="110" customFormat="1">
      <c r="A295" s="155"/>
    </row>
    <row r="296" spans="1:1" s="110" customFormat="1">
      <c r="A296" s="155"/>
    </row>
    <row r="297" spans="1:1" s="110" customFormat="1">
      <c r="A297" s="155"/>
    </row>
    <row r="298" spans="1:1" s="110" customFormat="1">
      <c r="A298" s="155"/>
    </row>
    <row r="299" spans="1:1" s="110" customFormat="1">
      <c r="A299" s="155"/>
    </row>
    <row r="300" spans="1:1" s="110" customFormat="1">
      <c r="A300" s="155"/>
    </row>
    <row r="301" spans="1:1" s="110" customFormat="1">
      <c r="A301" s="155"/>
    </row>
    <row r="302" spans="1:1" s="110" customFormat="1">
      <c r="A302" s="155"/>
    </row>
    <row r="303" spans="1:1" s="110" customFormat="1">
      <c r="A303" s="155"/>
    </row>
    <row r="304" spans="1:1" s="110" customFormat="1">
      <c r="A304" s="155"/>
    </row>
    <row r="305" spans="1:1" s="110" customFormat="1">
      <c r="A305" s="155"/>
    </row>
    <row r="306" spans="1:1" s="110" customFormat="1">
      <c r="A306" s="155"/>
    </row>
    <row r="307" spans="1:1" s="110" customFormat="1">
      <c r="A307" s="155"/>
    </row>
    <row r="308" spans="1:1" s="110" customFormat="1">
      <c r="A308" s="155"/>
    </row>
    <row r="309" spans="1:1" s="110" customFormat="1">
      <c r="A309" s="155"/>
    </row>
    <row r="310" spans="1:1" s="110" customFormat="1">
      <c r="A310" s="155"/>
    </row>
    <row r="311" spans="1:1" s="110" customFormat="1">
      <c r="A311" s="155"/>
    </row>
    <row r="312" spans="1:1" s="110" customFormat="1">
      <c r="A312" s="155"/>
    </row>
    <row r="313" spans="1:1" s="110" customFormat="1">
      <c r="A313" s="155"/>
    </row>
    <row r="314" spans="1:1" s="110" customFormat="1">
      <c r="A314" s="155"/>
    </row>
    <row r="315" spans="1:1" s="110" customFormat="1">
      <c r="A315" s="155"/>
    </row>
    <row r="316" spans="1:1" s="110" customFormat="1">
      <c r="A316" s="155"/>
    </row>
    <row r="317" spans="1:1" s="110" customFormat="1">
      <c r="A317" s="155"/>
    </row>
    <row r="318" spans="1:1" s="110" customFormat="1">
      <c r="A318" s="155"/>
    </row>
    <row r="319" spans="1:1" s="110" customFormat="1">
      <c r="A319" s="155"/>
    </row>
    <row r="320" spans="1:1" s="110" customFormat="1">
      <c r="A320" s="155"/>
    </row>
    <row r="321" spans="1:1" s="110" customFormat="1">
      <c r="A321" s="155"/>
    </row>
    <row r="322" spans="1:1" s="110" customFormat="1">
      <c r="A322" s="155"/>
    </row>
    <row r="323" spans="1:1" s="110" customFormat="1">
      <c r="A323" s="155"/>
    </row>
    <row r="324" spans="1:1" s="110" customFormat="1">
      <c r="A324" s="155"/>
    </row>
    <row r="325" spans="1:1" s="110" customFormat="1">
      <c r="A325" s="155"/>
    </row>
    <row r="326" spans="1:1" s="110" customFormat="1">
      <c r="A326" s="155"/>
    </row>
    <row r="327" spans="1:1" s="110" customFormat="1">
      <c r="A327" s="155"/>
    </row>
    <row r="328" spans="1:1" s="110" customFormat="1">
      <c r="A328" s="155"/>
    </row>
    <row r="329" spans="1:1" s="110" customFormat="1">
      <c r="A329" s="155"/>
    </row>
    <row r="330" spans="1:1" s="110" customFormat="1">
      <c r="A330" s="155"/>
    </row>
    <row r="331" spans="1:1" s="110" customFormat="1">
      <c r="A331" s="155"/>
    </row>
    <row r="332" spans="1:1" s="110" customFormat="1">
      <c r="A332" s="155"/>
    </row>
    <row r="333" spans="1:1" s="110" customFormat="1">
      <c r="A333" s="155"/>
    </row>
    <row r="334" spans="1:1" s="110" customFormat="1">
      <c r="A334" s="155"/>
    </row>
    <row r="335" spans="1:1" s="110" customFormat="1">
      <c r="A335" s="155"/>
    </row>
    <row r="336" spans="1:1" s="110" customFormat="1">
      <c r="A336" s="155"/>
    </row>
    <row r="337" spans="1:1" s="110" customFormat="1">
      <c r="A337" s="155"/>
    </row>
    <row r="338" spans="1:1" s="110" customFormat="1">
      <c r="A338" s="155"/>
    </row>
    <row r="339" spans="1:1" s="110" customFormat="1">
      <c r="A339" s="155"/>
    </row>
    <row r="340" spans="1:1" s="110" customFormat="1">
      <c r="A340" s="155"/>
    </row>
    <row r="341" spans="1:1" s="110" customFormat="1">
      <c r="A341" s="155"/>
    </row>
    <row r="342" spans="1:1" s="110" customFormat="1">
      <c r="A342" s="155"/>
    </row>
    <row r="343" spans="1:1" s="110" customFormat="1">
      <c r="A343" s="155"/>
    </row>
    <row r="344" spans="1:1" s="110" customFormat="1">
      <c r="A344" s="155"/>
    </row>
    <row r="345" spans="1:1" s="110" customFormat="1">
      <c r="A345" s="155"/>
    </row>
    <row r="346" spans="1:1" s="110" customFormat="1">
      <c r="A346" s="155"/>
    </row>
    <row r="347" spans="1:1" s="110" customFormat="1">
      <c r="A347" s="155"/>
    </row>
    <row r="348" spans="1:1" s="110" customFormat="1">
      <c r="A348" s="155"/>
    </row>
    <row r="349" spans="1:1" s="110" customFormat="1">
      <c r="A349" s="155"/>
    </row>
    <row r="350" spans="1:1" s="110" customFormat="1">
      <c r="A350" s="155"/>
    </row>
    <row r="351" spans="1:1" s="110" customFormat="1">
      <c r="A351" s="155"/>
    </row>
    <row r="352" spans="1:1" s="110" customFormat="1">
      <c r="A352" s="155"/>
    </row>
    <row r="353" spans="1:1" s="110" customFormat="1">
      <c r="A353" s="155"/>
    </row>
    <row r="354" spans="1:1" s="110" customFormat="1">
      <c r="A354" s="155"/>
    </row>
    <row r="355" spans="1:1" s="110" customFormat="1">
      <c r="A355" s="155"/>
    </row>
    <row r="356" spans="1:1" s="110" customFormat="1">
      <c r="A356" s="155"/>
    </row>
    <row r="357" spans="1:1" s="110" customFormat="1">
      <c r="A357" s="155"/>
    </row>
    <row r="358" spans="1:1" s="110" customFormat="1">
      <c r="A358" s="155"/>
    </row>
    <row r="359" spans="1:1" s="110" customFormat="1">
      <c r="A359" s="155"/>
    </row>
    <row r="360" spans="1:1" s="110" customFormat="1">
      <c r="A360" s="155"/>
    </row>
    <row r="361" spans="1:1" s="110" customFormat="1">
      <c r="A361" s="155"/>
    </row>
    <row r="362" spans="1:1" s="110" customFormat="1">
      <c r="A362" s="155"/>
    </row>
    <row r="363" spans="1:1" s="110" customFormat="1">
      <c r="A363" s="155"/>
    </row>
    <row r="364" spans="1:1" s="110" customFormat="1">
      <c r="A364" s="155"/>
    </row>
    <row r="365" spans="1:1" s="110" customFormat="1">
      <c r="A365" s="155"/>
    </row>
    <row r="366" spans="1:1" s="110" customFormat="1">
      <c r="A366" s="155"/>
    </row>
    <row r="367" spans="1:1" s="110" customFormat="1">
      <c r="A367" s="155"/>
    </row>
    <row r="368" spans="1:1" s="110" customFormat="1">
      <c r="A368" s="155"/>
    </row>
    <row r="369" spans="1:1" s="110" customFormat="1">
      <c r="A369" s="155"/>
    </row>
    <row r="370" spans="1:1" s="110" customFormat="1">
      <c r="A370" s="155"/>
    </row>
    <row r="371" spans="1:1" s="110" customFormat="1">
      <c r="A371" s="155"/>
    </row>
    <row r="372" spans="1:1" s="110" customFormat="1">
      <c r="A372" s="155"/>
    </row>
    <row r="373" spans="1:1" s="110" customFormat="1">
      <c r="A373" s="155"/>
    </row>
    <row r="374" spans="1:1" s="110" customFormat="1">
      <c r="A374" s="155"/>
    </row>
    <row r="375" spans="1:1" s="110" customFormat="1">
      <c r="A375" s="155"/>
    </row>
    <row r="376" spans="1:1" s="110" customFormat="1">
      <c r="A376" s="155"/>
    </row>
    <row r="377" spans="1:1" s="110" customFormat="1">
      <c r="A377" s="155"/>
    </row>
    <row r="378" spans="1:1" s="110" customFormat="1">
      <c r="A378" s="155"/>
    </row>
    <row r="379" spans="1:1" s="110" customFormat="1">
      <c r="A379" s="155"/>
    </row>
    <row r="380" spans="1:1" s="110" customFormat="1">
      <c r="A380" s="155"/>
    </row>
    <row r="381" spans="1:1" s="110" customFormat="1">
      <c r="A381" s="155"/>
    </row>
    <row r="382" spans="1:1" s="110" customFormat="1">
      <c r="A382" s="155"/>
    </row>
    <row r="383" spans="1:1" s="110" customFormat="1">
      <c r="A383" s="155"/>
    </row>
    <row r="384" spans="1:1" s="110" customFormat="1">
      <c r="A384" s="155"/>
    </row>
    <row r="385" spans="1:1" s="110" customFormat="1">
      <c r="A385" s="155"/>
    </row>
    <row r="386" spans="1:1" s="110" customFormat="1">
      <c r="A386" s="155"/>
    </row>
    <row r="387" spans="1:1" s="110" customFormat="1">
      <c r="A387" s="155"/>
    </row>
    <row r="388" spans="1:1" s="110" customFormat="1">
      <c r="A388" s="155"/>
    </row>
    <row r="389" spans="1:1" s="110" customFormat="1">
      <c r="A389" s="155"/>
    </row>
    <row r="390" spans="1:1" s="110" customFormat="1">
      <c r="A390" s="155"/>
    </row>
    <row r="391" spans="1:1" s="110" customFormat="1">
      <c r="A391" s="155"/>
    </row>
    <row r="392" spans="1:1" s="110" customFormat="1">
      <c r="A392" s="155"/>
    </row>
    <row r="393" spans="1:1" s="110" customFormat="1">
      <c r="A393" s="155"/>
    </row>
    <row r="394" spans="1:1" s="110" customFormat="1">
      <c r="A394" s="155"/>
    </row>
    <row r="395" spans="1:1" s="110" customFormat="1">
      <c r="A395" s="155"/>
    </row>
    <row r="396" spans="1:1" s="110" customFormat="1">
      <c r="A396" s="155"/>
    </row>
    <row r="397" spans="1:1" s="110" customFormat="1">
      <c r="A397" s="155"/>
    </row>
    <row r="398" spans="1:1" s="110" customFormat="1">
      <c r="A398" s="155"/>
    </row>
    <row r="399" spans="1:1" s="110" customFormat="1">
      <c r="A399" s="155"/>
    </row>
    <row r="400" spans="1:1" s="110" customFormat="1">
      <c r="A400" s="155"/>
    </row>
    <row r="401" spans="1:1" s="110" customFormat="1">
      <c r="A401" s="155"/>
    </row>
    <row r="402" spans="1:1" s="110" customFormat="1">
      <c r="A402" s="155"/>
    </row>
    <row r="403" spans="1:1" s="110" customFormat="1">
      <c r="A403" s="155"/>
    </row>
    <row r="404" spans="1:1" s="110" customFormat="1">
      <c r="A404" s="155"/>
    </row>
    <row r="405" spans="1:1" s="110" customFormat="1">
      <c r="A405" s="155"/>
    </row>
    <row r="406" spans="1:1" s="110" customFormat="1">
      <c r="A406" s="155"/>
    </row>
    <row r="407" spans="1:1" s="110" customFormat="1">
      <c r="A407" s="155"/>
    </row>
    <row r="408" spans="1:1" s="110" customFormat="1">
      <c r="A408" s="155"/>
    </row>
    <row r="409" spans="1:1" s="110" customFormat="1">
      <c r="A409" s="155"/>
    </row>
    <row r="410" spans="1:1" s="110" customFormat="1">
      <c r="A410" s="155"/>
    </row>
    <row r="411" spans="1:1" s="110" customFormat="1">
      <c r="A411" s="155"/>
    </row>
    <row r="412" spans="1:1" s="110" customFormat="1">
      <c r="A412" s="155"/>
    </row>
    <row r="413" spans="1:1" s="110" customFormat="1">
      <c r="A413" s="155"/>
    </row>
    <row r="414" spans="1:1" s="110" customFormat="1">
      <c r="A414" s="155"/>
    </row>
    <row r="415" spans="1:1" s="110" customFormat="1">
      <c r="A415" s="155"/>
    </row>
    <row r="416" spans="1:1" s="110" customFormat="1">
      <c r="A416" s="155"/>
    </row>
    <row r="417" spans="1:1" s="110" customFormat="1">
      <c r="A417" s="155"/>
    </row>
    <row r="418" spans="1:1" s="110" customFormat="1">
      <c r="A418" s="155"/>
    </row>
    <row r="419" spans="1:1" s="110" customFormat="1">
      <c r="A419" s="155"/>
    </row>
    <row r="420" spans="1:1" s="110" customFormat="1">
      <c r="A420" s="155"/>
    </row>
    <row r="421" spans="1:1" s="110" customFormat="1">
      <c r="A421" s="155"/>
    </row>
    <row r="422" spans="1:1" s="110" customFormat="1">
      <c r="A422" s="155"/>
    </row>
    <row r="423" spans="1:1" s="110" customFormat="1">
      <c r="A423" s="155"/>
    </row>
    <row r="424" spans="1:1" s="110" customFormat="1">
      <c r="A424" s="155"/>
    </row>
    <row r="425" spans="1:1" s="110" customFormat="1">
      <c r="A425" s="155"/>
    </row>
    <row r="426" spans="1:1" s="110" customFormat="1">
      <c r="A426" s="155"/>
    </row>
    <row r="427" spans="1:1" s="110" customFormat="1">
      <c r="A427" s="155"/>
    </row>
    <row r="428" spans="1:1" s="110" customFormat="1">
      <c r="A428" s="155"/>
    </row>
    <row r="429" spans="1:1" s="110" customFormat="1">
      <c r="A429" s="155"/>
    </row>
    <row r="430" spans="1:1" s="110" customFormat="1">
      <c r="A430" s="155"/>
    </row>
    <row r="431" spans="1:1" s="110" customFormat="1">
      <c r="A431" s="155"/>
    </row>
    <row r="432" spans="1:1" s="110" customFormat="1">
      <c r="A432" s="155"/>
    </row>
    <row r="433" spans="1:15" s="110" customFormat="1">
      <c r="A433" s="155"/>
    </row>
    <row r="434" spans="1:15" s="110" customFormat="1">
      <c r="A434" s="155"/>
    </row>
    <row r="435" spans="1:15" s="110" customFormat="1">
      <c r="A435" s="155"/>
    </row>
    <row r="436" spans="1:15" s="110" customFormat="1">
      <c r="A436" s="155"/>
    </row>
    <row r="437" spans="1:15" s="110" customFormat="1">
      <c r="A437" s="155"/>
    </row>
    <row r="438" spans="1:15" s="110" customFormat="1">
      <c r="A438" s="155"/>
    </row>
    <row r="439" spans="1:15" s="110" customFormat="1">
      <c r="A439" s="155"/>
    </row>
    <row r="440" spans="1:15">
      <c r="L440" s="2"/>
      <c r="M440" s="2"/>
      <c r="N440" s="2"/>
      <c r="O440" s="2"/>
    </row>
  </sheetData>
  <mergeCells count="150">
    <mergeCell ref="A205:B205"/>
    <mergeCell ref="A209:B209"/>
    <mergeCell ref="A134:B134"/>
    <mergeCell ref="A176:B176"/>
    <mergeCell ref="A187:B187"/>
    <mergeCell ref="A191:B191"/>
    <mergeCell ref="A193:B193"/>
    <mergeCell ref="A196:B196"/>
    <mergeCell ref="A199:B199"/>
    <mergeCell ref="A201:B201"/>
    <mergeCell ref="A175:C175"/>
    <mergeCell ref="A179:B179"/>
    <mergeCell ref="A182:C182"/>
    <mergeCell ref="B183:AE183"/>
    <mergeCell ref="B184:C184"/>
    <mergeCell ref="A185:B185"/>
    <mergeCell ref="A155:C155"/>
    <mergeCell ref="A156:B156"/>
    <mergeCell ref="A165:B165"/>
    <mergeCell ref="A168:B168"/>
    <mergeCell ref="A171:B171"/>
    <mergeCell ref="A172:B172"/>
    <mergeCell ref="A139:B139"/>
    <mergeCell ref="A141:B141"/>
    <mergeCell ref="G143:H143"/>
    <mergeCell ref="B151:AE151"/>
    <mergeCell ref="B152:C152"/>
    <mergeCell ref="A153:B153"/>
    <mergeCell ref="A125:B125"/>
    <mergeCell ref="C125:E125"/>
    <mergeCell ref="A127:C127"/>
    <mergeCell ref="B129:AE129"/>
    <mergeCell ref="B130:C130"/>
    <mergeCell ref="A137:B137"/>
    <mergeCell ref="AD113:AD114"/>
    <mergeCell ref="AE113:AE114"/>
    <mergeCell ref="A117:C117"/>
    <mergeCell ref="A118:B118"/>
    <mergeCell ref="C118:E118"/>
    <mergeCell ref="A124:C124"/>
    <mergeCell ref="X113:X114"/>
    <mergeCell ref="Y113:Y114"/>
    <mergeCell ref="Z113:Z114"/>
    <mergeCell ref="AA113:AA114"/>
    <mergeCell ref="AB113:AB114"/>
    <mergeCell ref="AC113:AC114"/>
    <mergeCell ref="F113:F114"/>
    <mergeCell ref="G113:G114"/>
    <mergeCell ref="T113:T114"/>
    <mergeCell ref="U113:U114"/>
    <mergeCell ref="V113:V114"/>
    <mergeCell ref="W113:W114"/>
    <mergeCell ref="A102:B102"/>
    <mergeCell ref="C102:E102"/>
    <mergeCell ref="A111:C111"/>
    <mergeCell ref="A112:B112"/>
    <mergeCell ref="C112:E112"/>
    <mergeCell ref="A113:A114"/>
    <mergeCell ref="B113:B114"/>
    <mergeCell ref="A91:B91"/>
    <mergeCell ref="C91:E91"/>
    <mergeCell ref="A93:B93"/>
    <mergeCell ref="A94:B94"/>
    <mergeCell ref="C94:E94"/>
    <mergeCell ref="A101:C101"/>
    <mergeCell ref="A83:B83"/>
    <mergeCell ref="C83:E83"/>
    <mergeCell ref="A87:C87"/>
    <mergeCell ref="A88:B88"/>
    <mergeCell ref="C88:E88"/>
    <mergeCell ref="A90:B90"/>
    <mergeCell ref="A76:B76"/>
    <mergeCell ref="C76:E76"/>
    <mergeCell ref="A78:C78"/>
    <mergeCell ref="A79:B79"/>
    <mergeCell ref="C79:E79"/>
    <mergeCell ref="A82:B82"/>
    <mergeCell ref="A68:B68"/>
    <mergeCell ref="C68:E68"/>
    <mergeCell ref="A72:C72"/>
    <mergeCell ref="A73:B73"/>
    <mergeCell ref="C73:E73"/>
    <mergeCell ref="A75:C75"/>
    <mergeCell ref="A57:B57"/>
    <mergeCell ref="C57:E57"/>
    <mergeCell ref="A63:C63"/>
    <mergeCell ref="A64:B64"/>
    <mergeCell ref="C64:E64"/>
    <mergeCell ref="A67:C67"/>
    <mergeCell ref="A18:B18"/>
    <mergeCell ref="A47:B47"/>
    <mergeCell ref="C47:E47"/>
    <mergeCell ref="A51:C51"/>
    <mergeCell ref="A52:B52"/>
    <mergeCell ref="C52:E52"/>
    <mergeCell ref="A56:C56"/>
    <mergeCell ref="A32:B32"/>
    <mergeCell ref="C32:E32"/>
    <mergeCell ref="A39:C39"/>
    <mergeCell ref="A40:B40"/>
    <mergeCell ref="C40:E40"/>
    <mergeCell ref="A46:C46"/>
    <mergeCell ref="E7:F7"/>
    <mergeCell ref="A27:C27"/>
    <mergeCell ref="A28:B28"/>
    <mergeCell ref="C28:E28"/>
    <mergeCell ref="A31:B31"/>
    <mergeCell ref="AE7:AE8"/>
    <mergeCell ref="A10:AE10"/>
    <mergeCell ref="B11:AE11"/>
    <mergeCell ref="A13:B13"/>
    <mergeCell ref="C13:E13"/>
    <mergeCell ref="A17:C17"/>
    <mergeCell ref="V7:V8"/>
    <mergeCell ref="W7:X7"/>
    <mergeCell ref="Y7:Y8"/>
    <mergeCell ref="Z7:AA7"/>
    <mergeCell ref="AB7:AB8"/>
    <mergeCell ref="AC7:AD7"/>
    <mergeCell ref="I7:I8"/>
    <mergeCell ref="J7:K7"/>
    <mergeCell ref="M7:M8"/>
    <mergeCell ref="N7:O7"/>
    <mergeCell ref="Q7:Q8"/>
    <mergeCell ref="R7:S7"/>
    <mergeCell ref="T7:U7"/>
    <mergeCell ref="G7:G8"/>
    <mergeCell ref="C18:E18"/>
    <mergeCell ref="A178:B178"/>
    <mergeCell ref="X1:AE1"/>
    <mergeCell ref="A3:AE3"/>
    <mergeCell ref="A5:A8"/>
    <mergeCell ref="B5:B8"/>
    <mergeCell ref="C5:C8"/>
    <mergeCell ref="D5:D8"/>
    <mergeCell ref="E5:G6"/>
    <mergeCell ref="H5:K5"/>
    <mergeCell ref="L5:O5"/>
    <mergeCell ref="P5:S5"/>
    <mergeCell ref="T5:AB5"/>
    <mergeCell ref="H6:H8"/>
    <mergeCell ref="I6:K6"/>
    <mergeCell ref="L6:L8"/>
    <mergeCell ref="M6:O6"/>
    <mergeCell ref="P6:P8"/>
    <mergeCell ref="Q6:S6"/>
    <mergeCell ref="T6:V6"/>
    <mergeCell ref="W6:Y6"/>
    <mergeCell ref="Z6:AB6"/>
    <mergeCell ref="AC6:AE6"/>
  </mergeCells>
  <printOptions horizontalCentered="1"/>
  <pageMargins left="0.59055118110236227" right="0.59055118110236227" top="0.59055118110236227" bottom="0.59055118110236227" header="0.39370078740157483" footer="0.51181102362204722"/>
  <pageSetup paperSize="9" scale="40" firstPageNumber="102" fitToHeight="26" orientation="landscape" useFirstPageNumber="1" horizontalDpi="300" verticalDpi="3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17.03.25 поправки февраль </vt:lpstr>
      <vt:lpstr>'17.03.25 поправки февраль '!Z_D9A49370_59EF_4DF5_B20D_A46D1CBDF607_.wvu.PrintTitles</vt:lpstr>
      <vt:lpstr>'17.03.25 поправки февраль '!Заголовки_для_печати</vt:lpstr>
      <vt:lpstr>'17.03.25 поправки февраль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28</cp:revision>
  <cp:lastPrinted>2025-03-17T07:41:42Z</cp:lastPrinted>
  <dcterms:created xsi:type="dcterms:W3CDTF">2023-06-29T08:05:20Z</dcterms:created>
  <dcterms:modified xsi:type="dcterms:W3CDTF">2025-03-17T07:45:46Z</dcterms:modified>
  <dc:language>ru-RU</dc:language>
</cp:coreProperties>
</file>